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Mitch\Documents\Modeling\IFPRI_model\data\"/>
    </mc:Choice>
  </mc:AlternateContent>
  <xr:revisionPtr revIDLastSave="0" documentId="8_{E42E2D5B-D29D-48B9-A1DF-55A230B0E611}" xr6:coauthVersionLast="47" xr6:coauthVersionMax="47" xr10:uidLastSave="{00000000-0000-0000-0000-000000000000}"/>
  <bookViews>
    <workbookView xWindow="-110" yWindow="-110" windowWidth="38620" windowHeight="21100" tabRatio="794" firstSheet="1" activeTab="2" xr2:uid="{55671881-90B1-4441-B96B-8942E03A0C87}"/>
  </bookViews>
  <sheets>
    <sheet name="SAM (act y bienes)" sheetId="1" r:id="rId1"/>
    <sheet name="SAM macro" sheetId="2" r:id="rId2"/>
    <sheet name="MICROSAM" sheetId="31" r:id="rId3"/>
    <sheet name="datos prec. compr." sheetId="4" r:id="rId4"/>
    <sheet name="precios bas." sheetId="5" r:id="rId5"/>
    <sheet name="Parámetros" sheetId="6" r:id="rId6"/>
    <sheet name="reparto pbi" sheetId="32" r:id="rId7"/>
    <sheet name="45 ramas" sheetId="34" r:id="rId8"/>
    <sheet name="fonavi" sheetId="7" r:id="rId9"/>
    <sheet name="Matriz 15x15" sheetId="8" r:id="rId10"/>
    <sheet name="Trabajo por tipo" sheetId="9" r:id="rId11"/>
    <sheet name="Cuadro empleo" sheetId="10" r:id="rId12"/>
    <sheet name="ingresos (laborales)" sheetId="13" r:id="rId13"/>
    <sheet name="transferencias hogares" sheetId="14" r:id="rId14"/>
    <sheet name="Ingresos 1997" sheetId="15" r:id="rId15"/>
    <sheet name="utilidades distribuidas" sheetId="16" r:id="rId16"/>
    <sheet name="impuestos hogares" sheetId="17" r:id="rId17"/>
    <sheet name="transferencias gobieno" sheetId="18" r:id="rId18"/>
    <sheet name="balanza de pagos" sheetId="19" r:id="rId19"/>
    <sheet name="oferta-demanda" sheetId="20" r:id="rId20"/>
    <sheet name="crédito BCRP" sheetId="21" r:id="rId21"/>
    <sheet name="opr. gob. gen. y sector no fin." sheetId="22" r:id="rId22"/>
    <sheet name="ingresos gob. cent." sheetId="23" r:id="rId23"/>
    <sheet name="operaciones gob. cent." sheetId="24" r:id="rId24"/>
    <sheet name="operac. gob.  locales" sheetId="25" r:id="rId25"/>
    <sheet name="utilid empresas estatales" sheetId="26" r:id="rId26"/>
    <sheet name="gasto publico" sheetId="30" r:id="rId27"/>
    <sheet name="Programas sociales" sheetId="27" r:id="rId28"/>
    <sheet name="gasto gob. cent." sheetId="28" r:id="rId29"/>
    <sheet name="ingresos gobierno" sheetId="29" r:id="rId30"/>
  </sheets>
  <externalReferences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definedNames>
    <definedName name="ID">#REF!</definedName>
    <definedName name="M">#REF!</definedName>
    <definedName name="_xlnm.Print_Area" localSheetId="0">'SAM (act y bienes)'!$B$2:$S$24</definedName>
    <definedName name="_xlnm.Print_Area" localSheetId="1">'SAM macro'!$B$6:$W$27</definedName>
    <definedName name="_xlnm.Print_Titles" localSheetId="11">'Cuadro empleo'!$B:$B</definedName>
    <definedName name="TABLE" localSheetId="14">'Ingresos 1997'!$A$3:$F$87</definedName>
    <definedName name="V">#REF!</definedName>
    <definedName name="VT">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1" l="1"/>
  <c r="J12" i="31" s="1"/>
  <c r="K12" i="31" s="1"/>
  <c r="L12" i="31" s="1"/>
  <c r="M12" i="31" s="1"/>
  <c r="N12" i="31" s="1"/>
  <c r="O12" i="31" s="1"/>
  <c r="P12" i="31" s="1"/>
  <c r="Q12" i="31" s="1"/>
  <c r="R12" i="31" s="1"/>
  <c r="S12" i="31" s="1"/>
  <c r="T12" i="31" s="1"/>
  <c r="U12" i="31" s="1"/>
  <c r="V12" i="31" s="1"/>
  <c r="W12" i="31" s="1"/>
  <c r="X12" i="31" s="1"/>
  <c r="Y12" i="31" s="1"/>
  <c r="Z12" i="31" s="1"/>
  <c r="AA12" i="31" s="1"/>
  <c r="AB12" i="31" s="1"/>
  <c r="AC12" i="31" s="1"/>
  <c r="AD12" i="31" s="1"/>
  <c r="AE12" i="31" s="1"/>
  <c r="AF12" i="31" s="1"/>
  <c r="AG12" i="31" s="1"/>
  <c r="AH12" i="31" s="1"/>
  <c r="AI12" i="31" s="1"/>
  <c r="AJ12" i="31" s="1"/>
  <c r="AK12" i="31" s="1"/>
  <c r="AL12" i="31" s="1"/>
  <c r="AM12" i="31" s="1"/>
  <c r="AN12" i="31" s="1"/>
  <c r="AO12" i="31" s="1"/>
  <c r="AP12" i="31" s="1"/>
  <c r="AQ12" i="31" s="1"/>
  <c r="AR12" i="31" s="1"/>
  <c r="AS12" i="31" s="1"/>
  <c r="AT12" i="31" s="1"/>
  <c r="AU12" i="31" s="1"/>
  <c r="AV12" i="31" s="1"/>
  <c r="AW12" i="31" s="1"/>
  <c r="AX12" i="31" s="1"/>
  <c r="AY12" i="31" s="1"/>
  <c r="AZ12" i="31" s="1"/>
  <c r="BA12" i="31" s="1"/>
  <c r="BB12" i="31" s="1"/>
  <c r="BC12" i="31" s="1"/>
  <c r="BD12" i="31" s="1"/>
  <c r="BE12" i="31" s="1"/>
  <c r="BF12" i="31" s="1"/>
  <c r="BG12" i="31" s="1"/>
  <c r="BH12" i="31" s="1"/>
  <c r="BI12" i="31" s="1"/>
  <c r="BJ12" i="31" s="1"/>
  <c r="BK12" i="31" s="1"/>
  <c r="BL12" i="31" s="1"/>
  <c r="BM12" i="31" s="1"/>
  <c r="BN12" i="31" s="1"/>
  <c r="BO12" i="31" s="1"/>
  <c r="BP12" i="31" s="1"/>
  <c r="G14" i="31"/>
  <c r="G15" i="31" s="1"/>
  <c r="G16" i="31" s="1"/>
  <c r="G17" i="31" s="1"/>
  <c r="G18" i="31" s="1"/>
  <c r="G19" i="31" s="1"/>
  <c r="G20" i="31" s="1"/>
  <c r="G21" i="31" s="1"/>
  <c r="G22" i="31" s="1"/>
  <c r="G23" i="31" s="1"/>
  <c r="G24" i="31" s="1"/>
  <c r="G25" i="31" s="1"/>
  <c r="G26" i="31" s="1"/>
  <c r="G27" i="31" s="1"/>
  <c r="G28" i="31" s="1"/>
  <c r="G29" i="31" s="1"/>
  <c r="G30" i="31" s="1"/>
  <c r="G31" i="31" s="1"/>
  <c r="G32" i="31" s="1"/>
  <c r="G33" i="31" s="1"/>
  <c r="G34" i="31" s="1"/>
  <c r="G35" i="31" s="1"/>
  <c r="G36" i="31" s="1"/>
  <c r="G37" i="31" s="1"/>
  <c r="G38" i="31" s="1"/>
  <c r="G39" i="31" s="1"/>
  <c r="G40" i="31" s="1"/>
  <c r="G41" i="31" s="1"/>
  <c r="G42" i="31" s="1"/>
  <c r="G43" i="31" s="1"/>
  <c r="G44" i="31" s="1"/>
  <c r="G45" i="31" s="1"/>
  <c r="G46" i="31" s="1"/>
  <c r="G47" i="31" s="1"/>
  <c r="G48" i="31" s="1"/>
  <c r="G49" i="31" s="1"/>
  <c r="G50" i="31" s="1"/>
  <c r="G51" i="31" s="1"/>
  <c r="G52" i="31" s="1"/>
  <c r="G53" i="31" s="1"/>
  <c r="G54" i="31" s="1"/>
  <c r="G55" i="31" s="1"/>
  <c r="G56" i="31" s="1"/>
  <c r="G57" i="31" s="1"/>
  <c r="G58" i="31" s="1"/>
  <c r="G59" i="31" s="1"/>
  <c r="G60" i="31" s="1"/>
  <c r="G61" i="31" s="1"/>
  <c r="G62" i="31" s="1"/>
  <c r="G63" i="31" s="1"/>
  <c r="G64" i="31" s="1"/>
  <c r="G65" i="31" s="1"/>
  <c r="G66" i="31" s="1"/>
  <c r="G67" i="31" s="1"/>
  <c r="G68" i="31" s="1"/>
  <c r="G69" i="31" s="1"/>
  <c r="G70" i="31" s="1"/>
  <c r="G71" i="31" s="1"/>
  <c r="G72" i="31" s="1"/>
  <c r="G73" i="31" s="1"/>
  <c r="C4" i="34"/>
  <c r="D4" i="34" s="1"/>
  <c r="C3" i="34"/>
  <c r="C48" i="34" s="1"/>
  <c r="C5" i="34"/>
  <c r="D5" i="34" s="1"/>
  <c r="C6" i="34"/>
  <c r="D6" i="34" s="1"/>
  <c r="C7" i="34"/>
  <c r="D7" i="34" s="1"/>
  <c r="C8" i="34"/>
  <c r="D8" i="34" s="1"/>
  <c r="C9" i="34"/>
  <c r="D9" i="34" s="1"/>
  <c r="C10" i="34"/>
  <c r="D10" i="34" s="1"/>
  <c r="C11" i="34"/>
  <c r="D11" i="34" s="1"/>
  <c r="C12" i="34"/>
  <c r="D12" i="34" s="1"/>
  <c r="C13" i="34"/>
  <c r="D13" i="34" s="1"/>
  <c r="C14" i="34"/>
  <c r="D14" i="34" s="1"/>
  <c r="C15" i="34"/>
  <c r="D15" i="34" s="1"/>
  <c r="C16" i="34"/>
  <c r="D16" i="34" s="1"/>
  <c r="C17" i="34"/>
  <c r="D17" i="34" s="1"/>
  <c r="C18" i="34"/>
  <c r="D18" i="34" s="1"/>
  <c r="C19" i="34"/>
  <c r="D19" i="34" s="1"/>
  <c r="C20" i="34"/>
  <c r="D20" i="34" s="1"/>
  <c r="C21" i="34"/>
  <c r="D21" i="34" s="1"/>
  <c r="C22" i="34"/>
  <c r="D22" i="34" s="1"/>
  <c r="C23" i="34"/>
  <c r="D23" i="34" s="1"/>
  <c r="C24" i="34"/>
  <c r="D24" i="34" s="1"/>
  <c r="C25" i="34"/>
  <c r="D25" i="34" s="1"/>
  <c r="C26" i="34"/>
  <c r="D26" i="34" s="1"/>
  <c r="C27" i="34"/>
  <c r="D27" i="34" s="1"/>
  <c r="C28" i="34"/>
  <c r="D28" i="34" s="1"/>
  <c r="C29" i="34"/>
  <c r="D29" i="34" s="1"/>
  <c r="C30" i="34"/>
  <c r="D30" i="34" s="1"/>
  <c r="C31" i="34"/>
  <c r="D31" i="34" s="1"/>
  <c r="C32" i="34"/>
  <c r="D32" i="34" s="1"/>
  <c r="C33" i="34"/>
  <c r="D33" i="34" s="1"/>
  <c r="C34" i="34"/>
  <c r="D34" i="34" s="1"/>
  <c r="C35" i="34"/>
  <c r="D35" i="34" s="1"/>
  <c r="C36" i="34"/>
  <c r="D36" i="34" s="1"/>
  <c r="C37" i="34"/>
  <c r="D37" i="34" s="1"/>
  <c r="C38" i="34"/>
  <c r="D38" i="34" s="1"/>
  <c r="C39" i="34"/>
  <c r="D39" i="34" s="1"/>
  <c r="C40" i="34"/>
  <c r="D40" i="34" s="1"/>
  <c r="C41" i="34"/>
  <c r="D41" i="34" s="1"/>
  <c r="C42" i="34"/>
  <c r="D42" i="34" s="1"/>
  <c r="C43" i="34"/>
  <c r="D43" i="34" s="1"/>
  <c r="C44" i="34"/>
  <c r="D44" i="34" s="1"/>
  <c r="C45" i="34"/>
  <c r="D45" i="34" s="1"/>
  <c r="C46" i="34"/>
  <c r="D46" i="34" s="1"/>
  <c r="C47" i="34"/>
  <c r="D47" i="34" s="1"/>
  <c r="E3" i="34"/>
  <c r="E4" i="34"/>
  <c r="F4" i="34" s="1"/>
  <c r="E5" i="34"/>
  <c r="E6" i="34"/>
  <c r="E7" i="34"/>
  <c r="E8" i="34"/>
  <c r="F8" i="34" s="1"/>
  <c r="E9" i="34"/>
  <c r="F9" i="34" s="1"/>
  <c r="E10" i="34"/>
  <c r="E11" i="34"/>
  <c r="E12" i="34"/>
  <c r="F12" i="34" s="1"/>
  <c r="E13" i="34"/>
  <c r="E14" i="34"/>
  <c r="E15" i="34"/>
  <c r="E16" i="34"/>
  <c r="F16" i="34" s="1"/>
  <c r="E17" i="34"/>
  <c r="F17" i="34" s="1"/>
  <c r="E18" i="34"/>
  <c r="E19" i="34"/>
  <c r="E20" i="34"/>
  <c r="F20" i="34" s="1"/>
  <c r="E21" i="34"/>
  <c r="E22" i="34"/>
  <c r="E23" i="34"/>
  <c r="E24" i="34"/>
  <c r="F24" i="34" s="1"/>
  <c r="E25" i="34"/>
  <c r="F25" i="34" s="1"/>
  <c r="E26" i="34"/>
  <c r="E27" i="34"/>
  <c r="E28" i="34"/>
  <c r="F28" i="34" s="1"/>
  <c r="E29" i="34"/>
  <c r="E30" i="34"/>
  <c r="E31" i="34"/>
  <c r="E32" i="34"/>
  <c r="F32" i="34" s="1"/>
  <c r="E33" i="34"/>
  <c r="F33" i="34" s="1"/>
  <c r="E34" i="34"/>
  <c r="E35" i="34"/>
  <c r="E36" i="34"/>
  <c r="F36" i="34" s="1"/>
  <c r="E37" i="34"/>
  <c r="E38" i="34"/>
  <c r="E39" i="34"/>
  <c r="E40" i="34"/>
  <c r="F40" i="34" s="1"/>
  <c r="E41" i="34"/>
  <c r="F41" i="34" s="1"/>
  <c r="E42" i="34"/>
  <c r="E43" i="34"/>
  <c r="E44" i="34"/>
  <c r="F44" i="34" s="1"/>
  <c r="E45" i="34"/>
  <c r="E46" i="34"/>
  <c r="E47" i="34"/>
  <c r="E48" i="34"/>
  <c r="F3" i="34" s="1"/>
  <c r="F10" i="34"/>
  <c r="F18" i="34"/>
  <c r="F26" i="34"/>
  <c r="F34" i="34"/>
  <c r="F42" i="34"/>
  <c r="P37" i="19"/>
  <c r="P42" i="19"/>
  <c r="P44" i="19" s="1"/>
  <c r="P43" i="19"/>
  <c r="O38" i="22"/>
  <c r="P45" i="19" s="1"/>
  <c r="N38" i="22"/>
  <c r="O45" i="19" s="1"/>
  <c r="N37" i="22" s="1"/>
  <c r="M38" i="22"/>
  <c r="N45" i="19"/>
  <c r="L38" i="22"/>
  <c r="M45" i="19" s="1"/>
  <c r="K38" i="22"/>
  <c r="L45" i="19" s="1"/>
  <c r="J38" i="22"/>
  <c r="K45" i="19" s="1"/>
  <c r="I38" i="22"/>
  <c r="J45" i="19"/>
  <c r="H38" i="22"/>
  <c r="I45" i="19" s="1"/>
  <c r="H37" i="22" s="1"/>
  <c r="G38" i="22"/>
  <c r="H45" i="19" s="1"/>
  <c r="F38" i="22"/>
  <c r="G45" i="19" s="1"/>
  <c r="E38" i="22"/>
  <c r="F45" i="19"/>
  <c r="D38" i="22"/>
  <c r="E45" i="19" s="1"/>
  <c r="C38" i="22"/>
  <c r="D45" i="19" s="1"/>
  <c r="B38" i="22"/>
  <c r="C45" i="19" s="1"/>
  <c r="P51" i="19"/>
  <c r="O51" i="19"/>
  <c r="Q11" i="19" s="1"/>
  <c r="M42" i="19"/>
  <c r="M44" i="19" s="1"/>
  <c r="M43" i="19"/>
  <c r="N42" i="19"/>
  <c r="N44" i="19" s="1"/>
  <c r="N43" i="19"/>
  <c r="O42" i="19"/>
  <c r="O43" i="19"/>
  <c r="O44" i="19"/>
  <c r="O37" i="19"/>
  <c r="N37" i="19"/>
  <c r="M37" i="19"/>
  <c r="L37" i="19"/>
  <c r="K37" i="19"/>
  <c r="J37" i="19"/>
  <c r="I37" i="19"/>
  <c r="H37" i="19"/>
  <c r="G37" i="19"/>
  <c r="E37" i="19"/>
  <c r="D37" i="19"/>
  <c r="C37" i="19"/>
  <c r="B37" i="19"/>
  <c r="F37" i="19"/>
  <c r="G48" i="19"/>
  <c r="F42" i="19"/>
  <c r="F44" i="19" s="1"/>
  <c r="F43" i="19"/>
  <c r="L42" i="19"/>
  <c r="L44" i="19" s="1"/>
  <c r="L43" i="19"/>
  <c r="K42" i="19"/>
  <c r="K43" i="19"/>
  <c r="K44" i="19" s="1"/>
  <c r="J42" i="19"/>
  <c r="J44" i="19" s="1"/>
  <c r="J43" i="19"/>
  <c r="I42" i="19"/>
  <c r="I44" i="19" s="1"/>
  <c r="I43" i="19"/>
  <c r="H42" i="19"/>
  <c r="H44" i="19" s="1"/>
  <c r="H43" i="19"/>
  <c r="G42" i="19"/>
  <c r="G43" i="19"/>
  <c r="G44" i="19"/>
  <c r="E42" i="19"/>
  <c r="E43" i="19"/>
  <c r="E44" i="19"/>
  <c r="D42" i="19"/>
  <c r="D44" i="19" s="1"/>
  <c r="D43" i="19"/>
  <c r="C42" i="19"/>
  <c r="C44" i="19" s="1"/>
  <c r="C43" i="19"/>
  <c r="B42" i="19"/>
  <c r="B43" i="19"/>
  <c r="B44" i="19" s="1"/>
  <c r="BN51" i="31"/>
  <c r="BN52" i="31"/>
  <c r="BN53" i="31"/>
  <c r="BN54" i="31"/>
  <c r="BN55" i="31"/>
  <c r="BN56" i="31"/>
  <c r="BN57" i="31"/>
  <c r="BN58" i="31"/>
  <c r="BN59" i="31"/>
  <c r="BN60" i="31"/>
  <c r="BN61" i="31"/>
  <c r="BN62" i="31"/>
  <c r="BN63" i="31"/>
  <c r="BN64" i="31"/>
  <c r="BN65" i="31"/>
  <c r="L5" i="10"/>
  <c r="K5" i="10"/>
  <c r="J5" i="10"/>
  <c r="I5" i="10"/>
  <c r="H5" i="10"/>
  <c r="G5" i="10"/>
  <c r="F5" i="10"/>
  <c r="E5" i="10"/>
  <c r="D5" i="10"/>
  <c r="C5" i="10"/>
  <c r="L4" i="10"/>
  <c r="K4" i="10"/>
  <c r="J4" i="10"/>
  <c r="I4" i="10"/>
  <c r="H4" i="10"/>
  <c r="G4" i="10"/>
  <c r="F4" i="10"/>
  <c r="E4" i="10"/>
  <c r="D4" i="10"/>
  <c r="C4" i="10"/>
  <c r="M5" i="10"/>
  <c r="M4" i="10"/>
  <c r="Q5" i="10"/>
  <c r="P5" i="10"/>
  <c r="O5" i="10"/>
  <c r="N5" i="10"/>
  <c r="Q4" i="10"/>
  <c r="P4" i="10"/>
  <c r="O4" i="10"/>
  <c r="N4" i="10"/>
  <c r="R5" i="10"/>
  <c r="R4" i="10"/>
  <c r="L8" i="10"/>
  <c r="K8" i="10"/>
  <c r="J8" i="10"/>
  <c r="I8" i="10"/>
  <c r="H8" i="10"/>
  <c r="G8" i="10"/>
  <c r="F8" i="10"/>
  <c r="E8" i="10"/>
  <c r="D8" i="10"/>
  <c r="C8" i="10"/>
  <c r="L7" i="10"/>
  <c r="K7" i="10"/>
  <c r="J7" i="10"/>
  <c r="I7" i="10"/>
  <c r="H7" i="10"/>
  <c r="G7" i="10"/>
  <c r="F7" i="10"/>
  <c r="E7" i="10"/>
  <c r="D7" i="10"/>
  <c r="C7" i="10"/>
  <c r="L6" i="10"/>
  <c r="K6" i="10"/>
  <c r="J6" i="10"/>
  <c r="I6" i="10"/>
  <c r="H6" i="10"/>
  <c r="G6" i="10"/>
  <c r="F6" i="10"/>
  <c r="E6" i="10"/>
  <c r="D6" i="10"/>
  <c r="C6" i="10"/>
  <c r="M8" i="10"/>
  <c r="M7" i="10"/>
  <c r="M6" i="10"/>
  <c r="Q8" i="10"/>
  <c r="P8" i="10"/>
  <c r="O8" i="10"/>
  <c r="N8" i="10"/>
  <c r="Q7" i="10"/>
  <c r="P7" i="10"/>
  <c r="O7" i="10"/>
  <c r="N7" i="10"/>
  <c r="Q6" i="10"/>
  <c r="P6" i="10"/>
  <c r="O6" i="10"/>
  <c r="N6" i="10"/>
  <c r="R8" i="10"/>
  <c r="R7" i="10"/>
  <c r="R6" i="10"/>
  <c r="L9" i="10"/>
  <c r="K9" i="10"/>
  <c r="J9" i="10"/>
  <c r="I9" i="10"/>
  <c r="H9" i="10"/>
  <c r="G9" i="10"/>
  <c r="F9" i="10"/>
  <c r="E9" i="10"/>
  <c r="D9" i="10"/>
  <c r="C9" i="10"/>
  <c r="M9" i="10"/>
  <c r="Q9" i="10"/>
  <c r="P9" i="10"/>
  <c r="O9" i="10"/>
  <c r="N9" i="10"/>
  <c r="R9" i="10"/>
  <c r="R3" i="10"/>
  <c r="N3" i="10"/>
  <c r="O3" i="10"/>
  <c r="P3" i="10"/>
  <c r="Q3" i="10"/>
  <c r="M3" i="10"/>
  <c r="C3" i="10"/>
  <c r="D3" i="10"/>
  <c r="E3" i="10"/>
  <c r="F3" i="10"/>
  <c r="G3" i="10"/>
  <c r="H3" i="10"/>
  <c r="I3" i="10"/>
  <c r="J3" i="10"/>
  <c r="K3" i="10"/>
  <c r="L3" i="10"/>
  <c r="CD31" i="4"/>
  <c r="CD32" i="4"/>
  <c r="CC31" i="4"/>
  <c r="CC32" i="4" s="1"/>
  <c r="BG66" i="31" s="1"/>
  <c r="CB31" i="4"/>
  <c r="CB32" i="4"/>
  <c r="BF66" i="31" s="1"/>
  <c r="BF79" i="31" s="1"/>
  <c r="CA31" i="4"/>
  <c r="CA32" i="4" s="1"/>
  <c r="BE66" i="31" s="1"/>
  <c r="BZ31" i="4"/>
  <c r="BZ32" i="4"/>
  <c r="BY31" i="4"/>
  <c r="BY32" i="4" s="1"/>
  <c r="BC66" i="31" s="1"/>
  <c r="BC79" i="31" s="1"/>
  <c r="BW31" i="4"/>
  <c r="BW32" i="4"/>
  <c r="BA66" i="31" s="1"/>
  <c r="BA79" i="31" s="1"/>
  <c r="BV31" i="4"/>
  <c r="BV32" i="4" s="1"/>
  <c r="BU31" i="4"/>
  <c r="BU32" i="4"/>
  <c r="BT31" i="4"/>
  <c r="BT32" i="4" s="1"/>
  <c r="AX66" i="31" s="1"/>
  <c r="AX79" i="31" s="1"/>
  <c r="BS31" i="4"/>
  <c r="BS32" i="4"/>
  <c r="AW66" i="31" s="1"/>
  <c r="BR31" i="4"/>
  <c r="BR32" i="4" s="1"/>
  <c r="AV66" i="31" s="1"/>
  <c r="AV79" i="31" s="1"/>
  <c r="BQ31" i="4"/>
  <c r="BQ32" i="4"/>
  <c r="BP31" i="4"/>
  <c r="BP32" i="4" s="1"/>
  <c r="AT66" i="31" s="1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BO17" i="4"/>
  <c r="BP17" i="4"/>
  <c r="BQ17" i="4"/>
  <c r="BR17" i="4"/>
  <c r="BS17" i="4"/>
  <c r="BT17" i="4"/>
  <c r="BU17" i="4"/>
  <c r="BV17" i="4"/>
  <c r="BW17" i="4"/>
  <c r="BX17" i="4"/>
  <c r="BY17" i="4"/>
  <c r="BZ17" i="4"/>
  <c r="CA17" i="4"/>
  <c r="CB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O21" i="23"/>
  <c r="G3" i="7" s="1"/>
  <c r="C3" i="7"/>
  <c r="D3" i="7"/>
  <c r="E3" i="7"/>
  <c r="F3" i="7"/>
  <c r="J3" i="7"/>
  <c r="K3" i="7"/>
  <c r="L3" i="7"/>
  <c r="M3" i="7"/>
  <c r="N3" i="7"/>
  <c r="O3" i="7"/>
  <c r="P3" i="7"/>
  <c r="Q3" i="7"/>
  <c r="L20" i="28"/>
  <c r="L18" i="28"/>
  <c r="M18" i="28" s="1"/>
  <c r="N18" i="28" s="1"/>
  <c r="O18" i="28"/>
  <c r="L14" i="28"/>
  <c r="L15" i="28" s="1"/>
  <c r="L13" i="28"/>
  <c r="M13" i="28" s="1"/>
  <c r="N13" i="28" s="1"/>
  <c r="O13" i="28"/>
  <c r="E25" i="30"/>
  <c r="H25" i="30" s="1"/>
  <c r="B25" i="30"/>
  <c r="G25" i="30"/>
  <c r="F25" i="30"/>
  <c r="D25" i="30"/>
  <c r="C25" i="30"/>
  <c r="H23" i="30"/>
  <c r="H22" i="30"/>
  <c r="H21" i="30"/>
  <c r="H20" i="30"/>
  <c r="H19" i="30"/>
  <c r="H18" i="30"/>
  <c r="H17" i="30"/>
  <c r="H16" i="30"/>
  <c r="H15" i="30"/>
  <c r="H14" i="30"/>
  <c r="H13" i="30"/>
  <c r="H12" i="30"/>
  <c r="H11" i="30"/>
  <c r="H10" i="30"/>
  <c r="H9" i="30"/>
  <c r="H8" i="30"/>
  <c r="H6" i="30"/>
  <c r="C12" i="17"/>
  <c r="D4" i="17"/>
  <c r="N16" i="13"/>
  <c r="D66" i="13"/>
  <c r="C68" i="13" s="1"/>
  <c r="D65" i="13"/>
  <c r="I65" i="13" s="1"/>
  <c r="I63" i="13"/>
  <c r="I61" i="13"/>
  <c r="I60" i="13"/>
  <c r="I59" i="13"/>
  <c r="I58" i="13"/>
  <c r="I57" i="13"/>
  <c r="D50" i="13"/>
  <c r="D51" i="13"/>
  <c r="D52" i="13"/>
  <c r="D49" i="13"/>
  <c r="I44" i="13"/>
  <c r="I45" i="13"/>
  <c r="I46" i="13"/>
  <c r="I43" i="13"/>
  <c r="I37" i="13"/>
  <c r="I38" i="13"/>
  <c r="I39" i="13"/>
  <c r="I36" i="13"/>
  <c r="I30" i="13"/>
  <c r="I31" i="13"/>
  <c r="I32" i="13"/>
  <c r="I29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20" i="13"/>
  <c r="O6" i="13"/>
  <c r="O7" i="13"/>
  <c r="O8" i="13"/>
  <c r="O9" i="13"/>
  <c r="O10" i="13"/>
  <c r="O11" i="13"/>
  <c r="O12" i="13"/>
  <c r="O13" i="13"/>
  <c r="O14" i="13"/>
  <c r="O15" i="13"/>
  <c r="O17" i="13"/>
  <c r="O18" i="13"/>
  <c r="O20" i="13"/>
  <c r="N6" i="13"/>
  <c r="N7" i="13"/>
  <c r="N8" i="13"/>
  <c r="N9" i="13"/>
  <c r="N10" i="13"/>
  <c r="N11" i="13"/>
  <c r="N12" i="13"/>
  <c r="N13" i="13"/>
  <c r="N14" i="13"/>
  <c r="N15" i="13"/>
  <c r="N17" i="13"/>
  <c r="N18" i="13"/>
  <c r="N20" i="13"/>
  <c r="Q22" i="13"/>
  <c r="P22" i="13"/>
  <c r="O22" i="13"/>
  <c r="N22" i="13"/>
  <c r="Q20" i="13"/>
  <c r="Q18" i="13"/>
  <c r="Q17" i="13"/>
  <c r="Q16" i="13"/>
  <c r="Q15" i="13"/>
  <c r="Q14" i="13"/>
  <c r="Q13" i="13"/>
  <c r="Q12" i="13"/>
  <c r="Q11" i="13"/>
  <c r="Q10" i="13"/>
  <c r="Q9" i="13"/>
  <c r="Q8" i="13"/>
  <c r="Q7" i="13"/>
  <c r="Q6" i="13"/>
  <c r="B98" i="15"/>
  <c r="B97" i="15"/>
  <c r="B96" i="15"/>
  <c r="B95" i="15"/>
  <c r="B94" i="15"/>
  <c r="B93" i="15"/>
  <c r="B92" i="15"/>
  <c r="D98" i="15"/>
  <c r="D97" i="15"/>
  <c r="D96" i="15"/>
  <c r="D95" i="15"/>
  <c r="D94" i="15"/>
  <c r="D93" i="15"/>
  <c r="D92" i="15"/>
  <c r="C98" i="15"/>
  <c r="C97" i="15"/>
  <c r="C96" i="15"/>
  <c r="C95" i="15"/>
  <c r="C94" i="15"/>
  <c r="C93" i="15"/>
  <c r="C92" i="15"/>
  <c r="N21" i="23"/>
  <c r="E14" i="23"/>
  <c r="E12" i="23"/>
  <c r="Q12" i="23" s="1"/>
  <c r="P13" i="23"/>
  <c r="O14" i="23"/>
  <c r="O12" i="23" s="1"/>
  <c r="L14" i="23"/>
  <c r="L12" i="23" s="1"/>
  <c r="M14" i="23"/>
  <c r="M12" i="23"/>
  <c r="N14" i="23"/>
  <c r="N12" i="23"/>
  <c r="C14" i="23"/>
  <c r="D14" i="23"/>
  <c r="F14" i="23"/>
  <c r="F12" i="23" s="1"/>
  <c r="G14" i="23"/>
  <c r="G12" i="23" s="1"/>
  <c r="H14" i="23"/>
  <c r="I14" i="23"/>
  <c r="J14" i="23"/>
  <c r="K14" i="23"/>
  <c r="K12" i="23" s="1"/>
  <c r="B14" i="23"/>
  <c r="B12" i="23" s="1"/>
  <c r="B8" i="23" s="1"/>
  <c r="J12" i="23"/>
  <c r="I12" i="23"/>
  <c r="H12" i="23"/>
  <c r="D12" i="23"/>
  <c r="D8" i="23" s="1"/>
  <c r="D7" i="23" s="1"/>
  <c r="C12" i="23"/>
  <c r="C8" i="23" s="1"/>
  <c r="C7" i="23" s="1"/>
  <c r="B7" i="23"/>
  <c r="E21" i="29"/>
  <c r="D21" i="29"/>
  <c r="E20" i="29"/>
  <c r="D20" i="29"/>
  <c r="E19" i="29"/>
  <c r="D19" i="29"/>
  <c r="E18" i="29"/>
  <c r="D18" i="29"/>
  <c r="E17" i="29"/>
  <c r="D17" i="29"/>
  <c r="E16" i="29"/>
  <c r="D16" i="29"/>
  <c r="E15" i="29"/>
  <c r="D15" i="29"/>
  <c r="E14" i="29"/>
  <c r="D14" i="29"/>
  <c r="E13" i="29"/>
  <c r="D13" i="29"/>
  <c r="E12" i="29"/>
  <c r="D12" i="29"/>
  <c r="E11" i="29"/>
  <c r="D11" i="29"/>
  <c r="E10" i="29"/>
  <c r="D10" i="29"/>
  <c r="E9" i="29"/>
  <c r="D9" i="29"/>
  <c r="E8" i="29"/>
  <c r="D8" i="29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AB51" i="31"/>
  <c r="AB52" i="31"/>
  <c r="AB53" i="31"/>
  <c r="AB54" i="31"/>
  <c r="AB55" i="31"/>
  <c r="AB56" i="31"/>
  <c r="AB57" i="31"/>
  <c r="AB58" i="31"/>
  <c r="AB59" i="31"/>
  <c r="AB60" i="31"/>
  <c r="AB61" i="31"/>
  <c r="AB62" i="31"/>
  <c r="AB63" i="31"/>
  <c r="AB64" i="31"/>
  <c r="AB65" i="31"/>
  <c r="O36" i="31"/>
  <c r="O37" i="31"/>
  <c r="O38" i="31"/>
  <c r="O39" i="31"/>
  <c r="O40" i="31"/>
  <c r="O41" i="31"/>
  <c r="O56" i="31" s="1"/>
  <c r="O42" i="31"/>
  <c r="O43" i="31"/>
  <c r="O44" i="31"/>
  <c r="O45" i="31"/>
  <c r="O46" i="31"/>
  <c r="P61" i="31" s="1"/>
  <c r="O47" i="31"/>
  <c r="O48" i="31"/>
  <c r="O49" i="31"/>
  <c r="O50" i="31"/>
  <c r="P36" i="31"/>
  <c r="Q36" i="31"/>
  <c r="R36" i="31"/>
  <c r="S36" i="31"/>
  <c r="T36" i="31"/>
  <c r="U36" i="31"/>
  <c r="P37" i="31"/>
  <c r="Q37" i="31"/>
  <c r="R37" i="31"/>
  <c r="S37" i="31"/>
  <c r="T37" i="31"/>
  <c r="U37" i="31"/>
  <c r="P38" i="31"/>
  <c r="Q38" i="31"/>
  <c r="R38" i="31"/>
  <c r="S38" i="31"/>
  <c r="T38" i="31"/>
  <c r="U38" i="31"/>
  <c r="P53" i="31" s="1"/>
  <c r="P39" i="31"/>
  <c r="Q39" i="31"/>
  <c r="R39" i="31"/>
  <c r="S39" i="31"/>
  <c r="T39" i="31"/>
  <c r="U39" i="31"/>
  <c r="O54" i="31"/>
  <c r="BP54" i="31" s="1"/>
  <c r="BR54" i="31" s="1"/>
  <c r="P40" i="31"/>
  <c r="Q40" i="31"/>
  <c r="R40" i="31"/>
  <c r="O55" i="31" s="1"/>
  <c r="S40" i="31"/>
  <c r="T40" i="31"/>
  <c r="U40" i="31"/>
  <c r="P41" i="31"/>
  <c r="Q41" i="31"/>
  <c r="R41" i="31"/>
  <c r="S41" i="31"/>
  <c r="T41" i="31"/>
  <c r="U41" i="31"/>
  <c r="P42" i="31"/>
  <c r="Q42" i="31"/>
  <c r="R42" i="31"/>
  <c r="S42" i="31"/>
  <c r="T42" i="31"/>
  <c r="U42" i="31"/>
  <c r="P43" i="31"/>
  <c r="Q43" i="31"/>
  <c r="R43" i="31"/>
  <c r="S43" i="31"/>
  <c r="T43" i="31"/>
  <c r="U43" i="31"/>
  <c r="P44" i="31"/>
  <c r="Q44" i="31"/>
  <c r="R44" i="31"/>
  <c r="S44" i="31"/>
  <c r="T44" i="31"/>
  <c r="U44" i="31"/>
  <c r="P45" i="31"/>
  <c r="Q45" i="31"/>
  <c r="R45" i="31"/>
  <c r="S45" i="31"/>
  <c r="T45" i="31"/>
  <c r="U45" i="31"/>
  <c r="P46" i="31"/>
  <c r="Q46" i="31"/>
  <c r="R46" i="31"/>
  <c r="S46" i="31"/>
  <c r="T46" i="31"/>
  <c r="U46" i="31"/>
  <c r="P47" i="31"/>
  <c r="Q47" i="31"/>
  <c r="P62" i="31" s="1"/>
  <c r="R47" i="31"/>
  <c r="S47" i="31"/>
  <c r="T47" i="31"/>
  <c r="U47" i="31"/>
  <c r="O62" i="31"/>
  <c r="BP62" i="31" s="1"/>
  <c r="BR62" i="31" s="1"/>
  <c r="P48" i="31"/>
  <c r="Q48" i="31"/>
  <c r="R48" i="31"/>
  <c r="O63" i="31" s="1"/>
  <c r="S48" i="31"/>
  <c r="T48" i="31"/>
  <c r="U48" i="31"/>
  <c r="P49" i="31"/>
  <c r="Q49" i="31"/>
  <c r="R49" i="31"/>
  <c r="S49" i="31"/>
  <c r="T49" i="31"/>
  <c r="U49" i="31"/>
  <c r="P50" i="31"/>
  <c r="Q50" i="31"/>
  <c r="R50" i="31"/>
  <c r="S50" i="31"/>
  <c r="T50" i="31"/>
  <c r="U50" i="31"/>
  <c r="P54" i="31"/>
  <c r="P55" i="31"/>
  <c r="Q54" i="31"/>
  <c r="Q55" i="31"/>
  <c r="Q62" i="31"/>
  <c r="R54" i="31"/>
  <c r="R55" i="31"/>
  <c r="R62" i="31"/>
  <c r="R63" i="31"/>
  <c r="S54" i="31"/>
  <c r="S55" i="31"/>
  <c r="S56" i="31"/>
  <c r="S62" i="31"/>
  <c r="S63" i="31"/>
  <c r="S64" i="31"/>
  <c r="T54" i="31"/>
  <c r="T55" i="31"/>
  <c r="T62" i="31"/>
  <c r="T63" i="31"/>
  <c r="T65" i="31"/>
  <c r="U54" i="31"/>
  <c r="U55" i="31"/>
  <c r="U58" i="31"/>
  <c r="U62" i="31"/>
  <c r="U63" i="31"/>
  <c r="W59" i="31"/>
  <c r="AC59" i="31"/>
  <c r="AD59" i="31"/>
  <c r="AE59" i="31"/>
  <c r="AF59" i="31"/>
  <c r="AG59" i="31"/>
  <c r="AH59" i="31"/>
  <c r="AI59" i="31"/>
  <c r="AJ59" i="31"/>
  <c r="AK59" i="31"/>
  <c r="AL59" i="31"/>
  <c r="AM59" i="31"/>
  <c r="AN59" i="31"/>
  <c r="AO59" i="31"/>
  <c r="AP59" i="31"/>
  <c r="AQ59" i="31"/>
  <c r="AR59" i="31"/>
  <c r="AS59" i="31"/>
  <c r="AU66" i="31"/>
  <c r="AY66" i="31"/>
  <c r="AZ66" i="31"/>
  <c r="AZ79" i="31" s="1"/>
  <c r="BB66" i="31"/>
  <c r="BD66" i="31"/>
  <c r="BH66" i="31"/>
  <c r="AT67" i="31"/>
  <c r="AU67" i="31"/>
  <c r="AV67" i="31"/>
  <c r="AW67" i="31"/>
  <c r="AX67" i="31"/>
  <c r="AY67" i="31"/>
  <c r="AY79" i="31" s="1"/>
  <c r="AZ67" i="31"/>
  <c r="BA67" i="31"/>
  <c r="BB67" i="31"/>
  <c r="BC67" i="31"/>
  <c r="BD67" i="31"/>
  <c r="BE67" i="31"/>
  <c r="BF67" i="31"/>
  <c r="BG67" i="31"/>
  <c r="BH67" i="31"/>
  <c r="W51" i="31"/>
  <c r="AC51" i="31"/>
  <c r="AD51" i="31"/>
  <c r="AE51" i="31"/>
  <c r="AF51" i="31"/>
  <c r="AG51" i="31"/>
  <c r="AH51" i="31"/>
  <c r="AI51" i="31"/>
  <c r="AJ51" i="31"/>
  <c r="AK51" i="31"/>
  <c r="AL51" i="31"/>
  <c r="AM51" i="31"/>
  <c r="AN51" i="31"/>
  <c r="AO51" i="31"/>
  <c r="AP51" i="31"/>
  <c r="AQ51" i="31"/>
  <c r="AR51" i="31"/>
  <c r="AS51" i="31"/>
  <c r="W52" i="31"/>
  <c r="AC52" i="31"/>
  <c r="AD52" i="31"/>
  <c r="AE52" i="31"/>
  <c r="AF52" i="31"/>
  <c r="AG52" i="31"/>
  <c r="AH52" i="31"/>
  <c r="AI52" i="31"/>
  <c r="AJ52" i="31"/>
  <c r="AK52" i="31"/>
  <c r="AL52" i="31"/>
  <c r="AM52" i="31"/>
  <c r="AN52" i="31"/>
  <c r="AO52" i="31"/>
  <c r="AP52" i="31"/>
  <c r="AQ52" i="31"/>
  <c r="AR52" i="31"/>
  <c r="AS52" i="31"/>
  <c r="W53" i="31"/>
  <c r="AC53" i="31"/>
  <c r="AD53" i="31"/>
  <c r="AE53" i="31"/>
  <c r="AF53" i="31"/>
  <c r="AG53" i="31"/>
  <c r="AH53" i="31"/>
  <c r="AI53" i="31"/>
  <c r="AJ53" i="31"/>
  <c r="AK53" i="31"/>
  <c r="AL53" i="31"/>
  <c r="AM53" i="31"/>
  <c r="AN53" i="31"/>
  <c r="AO53" i="31"/>
  <c r="AP53" i="31"/>
  <c r="AQ53" i="31"/>
  <c r="AR53" i="31"/>
  <c r="AS53" i="31"/>
  <c r="W54" i="31"/>
  <c r="AC54" i="31"/>
  <c r="AD54" i="31"/>
  <c r="AE54" i="31"/>
  <c r="AF54" i="31"/>
  <c r="AG54" i="31"/>
  <c r="AH54" i="31"/>
  <c r="AI54" i="31"/>
  <c r="AJ54" i="31"/>
  <c r="AK54" i="31"/>
  <c r="AL54" i="31"/>
  <c r="AM54" i="31"/>
  <c r="AN54" i="31"/>
  <c r="AO54" i="31"/>
  <c r="AP54" i="31"/>
  <c r="AQ54" i="31"/>
  <c r="AR54" i="31"/>
  <c r="AS54" i="31"/>
  <c r="W55" i="31"/>
  <c r="AC55" i="31"/>
  <c r="AD55" i="31"/>
  <c r="AE55" i="31"/>
  <c r="AF55" i="31"/>
  <c r="AG55" i="31"/>
  <c r="AH55" i="31"/>
  <c r="AI55" i="31"/>
  <c r="AJ55" i="31"/>
  <c r="AK55" i="31"/>
  <c r="AL55" i="31"/>
  <c r="AM55" i="31"/>
  <c r="AN55" i="31"/>
  <c r="AO55" i="31"/>
  <c r="AP55" i="31"/>
  <c r="AQ55" i="31"/>
  <c r="AR55" i="31"/>
  <c r="AS55" i="31"/>
  <c r="W57" i="31"/>
  <c r="AC57" i="31"/>
  <c r="AD57" i="31"/>
  <c r="AE57" i="31"/>
  <c r="AF57" i="31"/>
  <c r="R23" i="2" s="1"/>
  <c r="AG57" i="31"/>
  <c r="AH57" i="31"/>
  <c r="AI57" i="31"/>
  <c r="AJ57" i="31"/>
  <c r="AK57" i="31"/>
  <c r="AL57" i="31"/>
  <c r="AM57" i="31"/>
  <c r="AN57" i="31"/>
  <c r="AO57" i="31"/>
  <c r="AP57" i="31"/>
  <c r="AQ57" i="31"/>
  <c r="AR57" i="31"/>
  <c r="AS57" i="31"/>
  <c r="W58" i="31"/>
  <c r="AC58" i="31"/>
  <c r="P23" i="2" s="1"/>
  <c r="AD58" i="31"/>
  <c r="AE58" i="31"/>
  <c r="AF58" i="31"/>
  <c r="AG58" i="31"/>
  <c r="AH58" i="31"/>
  <c r="AI58" i="31"/>
  <c r="AJ58" i="31"/>
  <c r="AK58" i="31"/>
  <c r="AL58" i="31"/>
  <c r="AM58" i="31"/>
  <c r="AN58" i="31"/>
  <c r="AO58" i="31"/>
  <c r="AP58" i="31"/>
  <c r="AQ58" i="31"/>
  <c r="AR58" i="31"/>
  <c r="AS58" i="31"/>
  <c r="W60" i="31"/>
  <c r="AC60" i="31"/>
  <c r="AD60" i="31"/>
  <c r="AE60" i="31"/>
  <c r="AF60" i="31"/>
  <c r="AG60" i="31"/>
  <c r="AH60" i="31"/>
  <c r="AI60" i="31"/>
  <c r="AJ60" i="31"/>
  <c r="AK60" i="31"/>
  <c r="AL60" i="31"/>
  <c r="AM60" i="31"/>
  <c r="AN60" i="31"/>
  <c r="AO60" i="31"/>
  <c r="AP60" i="31"/>
  <c r="AQ60" i="31"/>
  <c r="AR60" i="31"/>
  <c r="AS60" i="31"/>
  <c r="W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AR61" i="31"/>
  <c r="AS61" i="31"/>
  <c r="W62" i="31"/>
  <c r="AC62" i="31"/>
  <c r="AD62" i="31"/>
  <c r="AE62" i="31"/>
  <c r="AF62" i="31"/>
  <c r="AG62" i="31"/>
  <c r="AH62" i="31"/>
  <c r="AI62" i="31"/>
  <c r="AJ62" i="31"/>
  <c r="AK62" i="31"/>
  <c r="AL62" i="31"/>
  <c r="AM62" i="31"/>
  <c r="AN62" i="31"/>
  <c r="AO62" i="31"/>
  <c r="AP62" i="31"/>
  <c r="AQ62" i="31"/>
  <c r="AR62" i="31"/>
  <c r="AS62" i="31"/>
  <c r="W29" i="31"/>
  <c r="X20" i="31" s="1"/>
  <c r="G19" i="18"/>
  <c r="W30" i="31"/>
  <c r="H19" i="18"/>
  <c r="Y20" i="31"/>
  <c r="W31" i="31"/>
  <c r="I19" i="18"/>
  <c r="Z20" i="31"/>
  <c r="G20" i="18"/>
  <c r="H20" i="18"/>
  <c r="Y21" i="31" s="1"/>
  <c r="I20" i="18"/>
  <c r="Z21" i="31" s="1"/>
  <c r="Z73" i="31" s="1"/>
  <c r="G21" i="18"/>
  <c r="X22" i="31"/>
  <c r="H21" i="18"/>
  <c r="Y22" i="31"/>
  <c r="I21" i="18"/>
  <c r="Z22" i="31" s="1"/>
  <c r="Q32" i="31" s="1"/>
  <c r="G22" i="18"/>
  <c r="X23" i="31" s="1"/>
  <c r="H22" i="18"/>
  <c r="Y23" i="31"/>
  <c r="I22" i="18"/>
  <c r="Z23" i="31"/>
  <c r="G23" i="18"/>
  <c r="X24" i="31" s="1"/>
  <c r="H23" i="18"/>
  <c r="Y24" i="31" s="1"/>
  <c r="I23" i="18"/>
  <c r="Z24" i="31"/>
  <c r="G24" i="18"/>
  <c r="X25" i="31"/>
  <c r="H24" i="18"/>
  <c r="Y25" i="31" s="1"/>
  <c r="I24" i="18"/>
  <c r="Z25" i="31" s="1"/>
  <c r="G25" i="18"/>
  <c r="X26" i="31"/>
  <c r="H25" i="18"/>
  <c r="Y26" i="31"/>
  <c r="I25" i="18"/>
  <c r="Z26" i="31" s="1"/>
  <c r="AC63" i="31"/>
  <c r="AD63" i="31"/>
  <c r="AE63" i="31"/>
  <c r="AF63" i="31"/>
  <c r="AG63" i="31"/>
  <c r="AH63" i="31"/>
  <c r="AI63" i="31"/>
  <c r="AJ63" i="31"/>
  <c r="AK63" i="31"/>
  <c r="AL63" i="31"/>
  <c r="AM63" i="31"/>
  <c r="AN63" i="31"/>
  <c r="AO63" i="31"/>
  <c r="AP63" i="31"/>
  <c r="AQ63" i="31"/>
  <c r="AR63" i="31"/>
  <c r="AS63" i="31"/>
  <c r="W64" i="31"/>
  <c r="AC64" i="31"/>
  <c r="AD64" i="31"/>
  <c r="AE64" i="31"/>
  <c r="AF64" i="31"/>
  <c r="AG64" i="31"/>
  <c r="AH64" i="31"/>
  <c r="AI64" i="31"/>
  <c r="AJ64" i="31"/>
  <c r="AK64" i="31"/>
  <c r="AL64" i="31"/>
  <c r="AM64" i="31"/>
  <c r="AN64" i="31"/>
  <c r="AO64" i="31"/>
  <c r="AP64" i="31"/>
  <c r="AQ64" i="31"/>
  <c r="AR64" i="31"/>
  <c r="AS64" i="31"/>
  <c r="W65" i="31"/>
  <c r="AC65" i="31"/>
  <c r="AD65" i="31"/>
  <c r="AE65" i="31"/>
  <c r="AF65" i="31"/>
  <c r="AG65" i="31"/>
  <c r="AH65" i="31"/>
  <c r="AI65" i="31"/>
  <c r="AJ65" i="31"/>
  <c r="AK65" i="31"/>
  <c r="AL65" i="31"/>
  <c r="AM65" i="31"/>
  <c r="AN65" i="31"/>
  <c r="AO65" i="31"/>
  <c r="AP65" i="31"/>
  <c r="AQ65" i="31"/>
  <c r="AR65" i="31"/>
  <c r="AS65" i="31"/>
  <c r="W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AR56" i="31"/>
  <c r="AS56" i="31"/>
  <c r="AD73" i="31"/>
  <c r="AC35" i="31" s="1"/>
  <c r="Q48" i="9"/>
  <c r="AS13" i="31" s="1"/>
  <c r="Q42" i="9"/>
  <c r="Q43" i="9"/>
  <c r="Q44" i="9"/>
  <c r="Q45" i="9"/>
  <c r="AS16" i="31"/>
  <c r="Q46" i="9"/>
  <c r="Q47" i="9"/>
  <c r="P48" i="9"/>
  <c r="AR14" i="31" s="1"/>
  <c r="P42" i="9"/>
  <c r="AR13" i="31"/>
  <c r="P43" i="9"/>
  <c r="P44" i="9"/>
  <c r="P45" i="9"/>
  <c r="AR16" i="31" s="1"/>
  <c r="P46" i="9"/>
  <c r="AR17" i="31"/>
  <c r="P47" i="9"/>
  <c r="O48" i="9"/>
  <c r="AQ15" i="31" s="1"/>
  <c r="O42" i="9"/>
  <c r="O43" i="9"/>
  <c r="AQ14" i="31"/>
  <c r="O44" i="9"/>
  <c r="O45" i="9"/>
  <c r="AQ16" i="31"/>
  <c r="O46" i="9"/>
  <c r="O47" i="9"/>
  <c r="AQ18" i="31"/>
  <c r="N48" i="9"/>
  <c r="N42" i="9"/>
  <c r="AP13" i="31"/>
  <c r="N43" i="9"/>
  <c r="AP14" i="31" s="1"/>
  <c r="N44" i="9"/>
  <c r="AP15" i="31"/>
  <c r="N45" i="9"/>
  <c r="AP16" i="31"/>
  <c r="N46" i="9"/>
  <c r="AP17" i="31"/>
  <c r="N47" i="9"/>
  <c r="AP18" i="31" s="1"/>
  <c r="M48" i="9"/>
  <c r="AO13" i="31" s="1"/>
  <c r="M42" i="9"/>
  <c r="M43" i="9"/>
  <c r="M44" i="9"/>
  <c r="M45" i="9"/>
  <c r="AO16" i="31"/>
  <c r="M46" i="9"/>
  <c r="M47" i="9"/>
  <c r="L48" i="9"/>
  <c r="AN14" i="31" s="1"/>
  <c r="L42" i="9"/>
  <c r="AN13" i="31"/>
  <c r="L43" i="9"/>
  <c r="L44" i="9"/>
  <c r="AN15" i="31"/>
  <c r="L45" i="9"/>
  <c r="AN16" i="31" s="1"/>
  <c r="L46" i="9"/>
  <c r="AN17" i="31"/>
  <c r="L47" i="9"/>
  <c r="K48" i="9"/>
  <c r="K42" i="9"/>
  <c r="K43" i="9"/>
  <c r="K44" i="9"/>
  <c r="K45" i="9"/>
  <c r="K46" i="9"/>
  <c r="K47" i="9"/>
  <c r="J48" i="9"/>
  <c r="J42" i="9"/>
  <c r="AL13" i="31"/>
  <c r="J43" i="9"/>
  <c r="AL14" i="31" s="1"/>
  <c r="J44" i="9"/>
  <c r="AL15" i="31"/>
  <c r="J45" i="9"/>
  <c r="AL16" i="31"/>
  <c r="J46" i="9"/>
  <c r="AL17" i="31"/>
  <c r="J47" i="9"/>
  <c r="AL18" i="31" s="1"/>
  <c r="I48" i="9"/>
  <c r="I42" i="9"/>
  <c r="I43" i="9"/>
  <c r="I44" i="9"/>
  <c r="I45" i="9"/>
  <c r="I46" i="9"/>
  <c r="I47" i="9"/>
  <c r="H48" i="9"/>
  <c r="H42" i="9"/>
  <c r="H43" i="9"/>
  <c r="H44" i="9"/>
  <c r="H45" i="9"/>
  <c r="H46" i="9"/>
  <c r="H47" i="9"/>
  <c r="G48" i="9"/>
  <c r="G42" i="9"/>
  <c r="G43" i="9"/>
  <c r="G44" i="9"/>
  <c r="G45" i="9"/>
  <c r="G46" i="9"/>
  <c r="G47" i="9"/>
  <c r="F48" i="9"/>
  <c r="F42" i="9"/>
  <c r="AH13" i="31"/>
  <c r="F43" i="9"/>
  <c r="AH14" i="31" s="1"/>
  <c r="F44" i="9"/>
  <c r="AH15" i="31"/>
  <c r="F45" i="9"/>
  <c r="AH16" i="31"/>
  <c r="F46" i="9"/>
  <c r="AH17" i="31"/>
  <c r="F47" i="9"/>
  <c r="AH18" i="31" s="1"/>
  <c r="E48" i="9"/>
  <c r="AG13" i="31" s="1"/>
  <c r="E42" i="9"/>
  <c r="E43" i="9"/>
  <c r="E44" i="9"/>
  <c r="AG15" i="31" s="1"/>
  <c r="E45" i="9"/>
  <c r="AG16" i="31"/>
  <c r="E46" i="9"/>
  <c r="E47" i="9"/>
  <c r="D48" i="9"/>
  <c r="AF13" i="31" s="1"/>
  <c r="D42" i="9"/>
  <c r="D43" i="9"/>
  <c r="D44" i="9"/>
  <c r="D45" i="9"/>
  <c r="AF16" i="31" s="1"/>
  <c r="D46" i="9"/>
  <c r="D47" i="9"/>
  <c r="C48" i="9"/>
  <c r="C42" i="9"/>
  <c r="C43" i="9"/>
  <c r="C44" i="9"/>
  <c r="C45" i="9"/>
  <c r="C46" i="9"/>
  <c r="C47" i="9"/>
  <c r="BP31" i="31"/>
  <c r="BR31" i="31"/>
  <c r="BP30" i="31"/>
  <c r="BR30" i="31" s="1"/>
  <c r="BP29" i="31"/>
  <c r="BR29" i="31"/>
  <c r="AT70" i="31"/>
  <c r="AU70" i="31"/>
  <c r="AV70" i="31"/>
  <c r="AW70" i="31"/>
  <c r="AX70" i="31"/>
  <c r="AY70" i="31"/>
  <c r="AZ70" i="31"/>
  <c r="BA70" i="31"/>
  <c r="BB70" i="31"/>
  <c r="BC70" i="31"/>
  <c r="BD70" i="31"/>
  <c r="BE70" i="31"/>
  <c r="BF70" i="31"/>
  <c r="BG70" i="31"/>
  <c r="BH70" i="31"/>
  <c r="AT69" i="31"/>
  <c r="AU69" i="31"/>
  <c r="AV69" i="31"/>
  <c r="AW69" i="31"/>
  <c r="AX69" i="31"/>
  <c r="AY69" i="31"/>
  <c r="AZ69" i="31"/>
  <c r="BA69" i="31"/>
  <c r="BB69" i="31"/>
  <c r="BC69" i="31"/>
  <c r="BD69" i="31"/>
  <c r="BE69" i="31"/>
  <c r="BF69" i="31"/>
  <c r="BG69" i="31"/>
  <c r="BH69" i="31"/>
  <c r="BH36" i="31"/>
  <c r="BH37" i="31"/>
  <c r="BH38" i="31"/>
  <c r="BH39" i="31"/>
  <c r="BH40" i="31"/>
  <c r="BH41" i="31"/>
  <c r="BH42" i="31"/>
  <c r="BH43" i="31"/>
  <c r="BH44" i="31"/>
  <c r="BH45" i="31"/>
  <c r="BH46" i="31"/>
  <c r="BH47" i="31"/>
  <c r="BH48" i="31"/>
  <c r="BH49" i="31"/>
  <c r="DD50" i="31"/>
  <c r="BH50" i="31" s="1"/>
  <c r="BH71" i="31"/>
  <c r="BG36" i="31"/>
  <c r="BG37" i="31"/>
  <c r="BG38" i="31"/>
  <c r="BG39" i="31"/>
  <c r="BG40" i="31"/>
  <c r="BG41" i="31"/>
  <c r="BG42" i="31"/>
  <c r="BG43" i="31"/>
  <c r="BG44" i="31"/>
  <c r="BG45" i="31"/>
  <c r="BG46" i="31"/>
  <c r="BG47" i="31"/>
  <c r="BG48" i="31"/>
  <c r="BG50" i="31"/>
  <c r="BG71" i="31"/>
  <c r="BF36" i="31"/>
  <c r="BF37" i="31"/>
  <c r="BF38" i="31"/>
  <c r="BF39" i="31"/>
  <c r="BF40" i="31"/>
  <c r="BF41" i="31"/>
  <c r="BF42" i="31"/>
  <c r="BF43" i="31"/>
  <c r="BF44" i="31"/>
  <c r="BF45" i="31"/>
  <c r="BF46" i="31"/>
  <c r="BF47" i="31"/>
  <c r="DB48" i="31"/>
  <c r="BF48" i="31"/>
  <c r="BF49" i="31"/>
  <c r="BF50" i="31"/>
  <c r="BF71" i="31"/>
  <c r="BE36" i="31"/>
  <c r="BE37" i="31"/>
  <c r="BE38" i="31"/>
  <c r="BE39" i="31"/>
  <c r="BE40" i="31"/>
  <c r="BE41" i="31"/>
  <c r="BE42" i="31"/>
  <c r="BE43" i="31"/>
  <c r="BE44" i="31"/>
  <c r="BE45" i="31"/>
  <c r="BE46" i="31"/>
  <c r="DA47" i="31"/>
  <c r="BE47" i="31" s="1"/>
  <c r="BE48" i="31"/>
  <c r="BE49" i="31"/>
  <c r="BE50" i="31"/>
  <c r="BE71" i="31"/>
  <c r="BD36" i="31"/>
  <c r="BD37" i="31"/>
  <c r="BD38" i="31"/>
  <c r="BD39" i="31"/>
  <c r="BD40" i="31"/>
  <c r="BD41" i="31"/>
  <c r="BD42" i="31"/>
  <c r="BD43" i="31"/>
  <c r="BD44" i="31"/>
  <c r="BD45" i="31"/>
  <c r="BD47" i="31"/>
  <c r="BD48" i="31"/>
  <c r="BD49" i="31"/>
  <c r="BD50" i="31"/>
  <c r="BD71" i="31"/>
  <c r="BC36" i="31"/>
  <c r="BC37" i="31"/>
  <c r="BC38" i="31"/>
  <c r="BC39" i="31"/>
  <c r="BC40" i="31"/>
  <c r="BC41" i="31"/>
  <c r="BC42" i="31"/>
  <c r="BC43" i="31"/>
  <c r="BC44" i="31"/>
  <c r="BC46" i="31"/>
  <c r="BC47" i="31"/>
  <c r="BC48" i="31"/>
  <c r="BC49" i="31"/>
  <c r="BC50" i="31"/>
  <c r="BC71" i="31"/>
  <c r="BB36" i="31"/>
  <c r="BB37" i="31"/>
  <c r="BB38" i="31"/>
  <c r="BB39" i="31"/>
  <c r="BB40" i="31"/>
  <c r="BB41" i="31"/>
  <c r="BB42" i="31"/>
  <c r="BB43" i="31"/>
  <c r="BB45" i="31"/>
  <c r="BB46" i="31"/>
  <c r="BB47" i="31"/>
  <c r="BB48" i="31"/>
  <c r="BB49" i="31"/>
  <c r="BB50" i="31"/>
  <c r="BB71" i="31"/>
  <c r="BA36" i="31"/>
  <c r="BA37" i="31"/>
  <c r="BA38" i="31"/>
  <c r="BA39" i="31"/>
  <c r="BA40" i="31"/>
  <c r="BA41" i="31"/>
  <c r="BA42" i="31"/>
  <c r="BA44" i="31"/>
  <c r="BA45" i="31"/>
  <c r="BA46" i="31"/>
  <c r="BA47" i="31"/>
  <c r="BA48" i="31"/>
  <c r="BA49" i="31"/>
  <c r="BA50" i="31"/>
  <c r="BA71" i="31"/>
  <c r="AZ36" i="31"/>
  <c r="AZ37" i="31"/>
  <c r="AZ38" i="31"/>
  <c r="AZ39" i="31"/>
  <c r="AZ40" i="31"/>
  <c r="AZ41" i="31"/>
  <c r="AZ43" i="31"/>
  <c r="AZ44" i="31"/>
  <c r="AZ45" i="31"/>
  <c r="AZ46" i="31"/>
  <c r="AZ47" i="31"/>
  <c r="AZ48" i="31"/>
  <c r="AZ49" i="31"/>
  <c r="AZ50" i="31"/>
  <c r="AZ71" i="31"/>
  <c r="AY36" i="31"/>
  <c r="AY37" i="31"/>
  <c r="AY38" i="31"/>
  <c r="AY39" i="31"/>
  <c r="AY40" i="31"/>
  <c r="AY42" i="31"/>
  <c r="AY43" i="31"/>
  <c r="AY44" i="31"/>
  <c r="AY45" i="31"/>
  <c r="AY46" i="31"/>
  <c r="AY47" i="31"/>
  <c r="AY48" i="31"/>
  <c r="AY49" i="31"/>
  <c r="AY50" i="31"/>
  <c r="AY71" i="31"/>
  <c r="AX36" i="31"/>
  <c r="AX37" i="31"/>
  <c r="AX38" i="31"/>
  <c r="AX39" i="31"/>
  <c r="CT40" i="31"/>
  <c r="AX40" i="31"/>
  <c r="BP40" i="31" s="1"/>
  <c r="BR40" i="31" s="1"/>
  <c r="AX41" i="31"/>
  <c r="AX42" i="31"/>
  <c r="AX43" i="31"/>
  <c r="AX44" i="31"/>
  <c r="AX45" i="31"/>
  <c r="AX46" i="31"/>
  <c r="AX47" i="31"/>
  <c r="AX48" i="31"/>
  <c r="AX49" i="31"/>
  <c r="AX50" i="31"/>
  <c r="AX71" i="31"/>
  <c r="AW36" i="31"/>
  <c r="AW73" i="31" s="1"/>
  <c r="AW37" i="31"/>
  <c r="AW38" i="31"/>
  <c r="CS39" i="31"/>
  <c r="AW39" i="31" s="1"/>
  <c r="AW40" i="31"/>
  <c r="AW41" i="31"/>
  <c r="AW42" i="31"/>
  <c r="AW43" i="31"/>
  <c r="AW44" i="31"/>
  <c r="AW45" i="31"/>
  <c r="AW46" i="31"/>
  <c r="AW47" i="31"/>
  <c r="AW48" i="31"/>
  <c r="AW49" i="31"/>
  <c r="AW50" i="31"/>
  <c r="AW71" i="31"/>
  <c r="AV36" i="31"/>
  <c r="AV37" i="31"/>
  <c r="AV39" i="31"/>
  <c r="AV40" i="31"/>
  <c r="AV41" i="31"/>
  <c r="AV42" i="31"/>
  <c r="AV43" i="31"/>
  <c r="AV44" i="31"/>
  <c r="AV45" i="31"/>
  <c r="AV46" i="31"/>
  <c r="AV47" i="31"/>
  <c r="AV48" i="31"/>
  <c r="AV49" i="31"/>
  <c r="AV50" i="31"/>
  <c r="AV71" i="31"/>
  <c r="AU36" i="31"/>
  <c r="AU38" i="31"/>
  <c r="AU39" i="31"/>
  <c r="AU40" i="31"/>
  <c r="AU41" i="31"/>
  <c r="AU42" i="31"/>
  <c r="AU43" i="31"/>
  <c r="AU44" i="31"/>
  <c r="AU45" i="31"/>
  <c r="AU46" i="31"/>
  <c r="AU47" i="31"/>
  <c r="AU48" i="31"/>
  <c r="AU49" i="31"/>
  <c r="AU50" i="31"/>
  <c r="AU71" i="31"/>
  <c r="AT37" i="31"/>
  <c r="AT38" i="31"/>
  <c r="AT39" i="31"/>
  <c r="AT40" i="31"/>
  <c r="AT41" i="31"/>
  <c r="AT42" i="31"/>
  <c r="AT43" i="31"/>
  <c r="AT44" i="31"/>
  <c r="AT45" i="31"/>
  <c r="AT46" i="31"/>
  <c r="AT47" i="31"/>
  <c r="AT48" i="31"/>
  <c r="AT49" i="31"/>
  <c r="AT50" i="31"/>
  <c r="AT71" i="31"/>
  <c r="BP50" i="31"/>
  <c r="BP48" i="31"/>
  <c r="BR48" i="31" s="1"/>
  <c r="BH79" i="31"/>
  <c r="BG79" i="31"/>
  <c r="BE79" i="31"/>
  <c r="BD79" i="31"/>
  <c r="BB79" i="31"/>
  <c r="AW79" i="31"/>
  <c r="AU79" i="31"/>
  <c r="AD76" i="31"/>
  <c r="AD75" i="31"/>
  <c r="BR50" i="31"/>
  <c r="AS1" i="31"/>
  <c r="AR1" i="31"/>
  <c r="AQ1" i="31"/>
  <c r="AP1" i="31"/>
  <c r="AO1" i="31"/>
  <c r="AN1" i="31"/>
  <c r="AM1" i="31"/>
  <c r="AL1" i="31"/>
  <c r="AK1" i="31"/>
  <c r="AJ1" i="31"/>
  <c r="AI1" i="31"/>
  <c r="AH1" i="31"/>
  <c r="AG1" i="31"/>
  <c r="AF1" i="31"/>
  <c r="AE1" i="31"/>
  <c r="D5" i="14"/>
  <c r="D13" i="14" s="1"/>
  <c r="D6" i="14"/>
  <c r="D20" i="14" s="1"/>
  <c r="T21" i="31" s="1"/>
  <c r="D7" i="14"/>
  <c r="D8" i="14"/>
  <c r="D9" i="14"/>
  <c r="D10" i="14"/>
  <c r="D11" i="14"/>
  <c r="Q21" i="31"/>
  <c r="U21" i="31"/>
  <c r="D22" i="14"/>
  <c r="O21" i="31"/>
  <c r="O32" i="31"/>
  <c r="R32" i="31"/>
  <c r="S32" i="31"/>
  <c r="T32" i="31"/>
  <c r="U32" i="31"/>
  <c r="U16" i="2"/>
  <c r="BN28" i="31" s="1"/>
  <c r="U12" i="2"/>
  <c r="BN27" i="31"/>
  <c r="E11" i="14"/>
  <c r="E5" i="14"/>
  <c r="E6" i="14"/>
  <c r="E7" i="14"/>
  <c r="E8" i="14"/>
  <c r="E9" i="14"/>
  <c r="E10" i="14"/>
  <c r="E13" i="14"/>
  <c r="E25" i="14" s="1"/>
  <c r="BN26" i="31" s="1"/>
  <c r="U11" i="2"/>
  <c r="E24" i="14"/>
  <c r="BN25" i="31" s="1"/>
  <c r="L20" i="2"/>
  <c r="W34" i="31" s="1"/>
  <c r="V16" i="2"/>
  <c r="BO28" i="31"/>
  <c r="L26" i="2"/>
  <c r="W26" i="2" s="1"/>
  <c r="V25" i="2"/>
  <c r="BO71" i="31" s="1"/>
  <c r="BO73" i="31" s="1"/>
  <c r="W72" i="31"/>
  <c r="BP72" i="31"/>
  <c r="L12" i="2"/>
  <c r="W27" i="31"/>
  <c r="L11" i="2"/>
  <c r="C25" i="18"/>
  <c r="C19" i="18"/>
  <c r="C20" i="18"/>
  <c r="C21" i="18"/>
  <c r="C22" i="18"/>
  <c r="C23" i="18"/>
  <c r="C24" i="18"/>
  <c r="C27" i="18"/>
  <c r="D25" i="18" s="1"/>
  <c r="U10" i="2"/>
  <c r="BN14" i="31" s="1"/>
  <c r="D10" i="9"/>
  <c r="E10" i="9"/>
  <c r="F10" i="9"/>
  <c r="G10" i="9"/>
  <c r="H10" i="9"/>
  <c r="G13" i="2"/>
  <c r="C10" i="9"/>
  <c r="G52" i="16"/>
  <c r="G53" i="16"/>
  <c r="G54" i="16"/>
  <c r="G55" i="16"/>
  <c r="G56" i="16"/>
  <c r="G57" i="16"/>
  <c r="H13" i="2"/>
  <c r="V68" i="31"/>
  <c r="S25" i="2"/>
  <c r="W25" i="2" s="1"/>
  <c r="G51" i="16"/>
  <c r="L17" i="2"/>
  <c r="O12" i="25"/>
  <c r="D8" i="25"/>
  <c r="D12" i="25" s="1"/>
  <c r="D14" i="25" s="1"/>
  <c r="C8" i="25"/>
  <c r="C12" i="25" s="1"/>
  <c r="C14" i="25" s="1"/>
  <c r="B8" i="25"/>
  <c r="B12" i="25" s="1"/>
  <c r="B14" i="25" s="1"/>
  <c r="L83" i="24"/>
  <c r="L84" i="24"/>
  <c r="M83" i="24"/>
  <c r="M84" i="24" s="1"/>
  <c r="N83" i="24"/>
  <c r="N84" i="24"/>
  <c r="L81" i="24"/>
  <c r="L82" i="24" s="1"/>
  <c r="M81" i="24"/>
  <c r="M82" i="24" s="1"/>
  <c r="N81" i="24"/>
  <c r="N82" i="24" s="1"/>
  <c r="R25" i="24"/>
  <c r="S25" i="24"/>
  <c r="Q25" i="24"/>
  <c r="C58" i="24"/>
  <c r="C65" i="24" s="1"/>
  <c r="D58" i="24"/>
  <c r="D81" i="24" s="1"/>
  <c r="D82" i="24" s="1"/>
  <c r="E81" i="24"/>
  <c r="F81" i="24"/>
  <c r="G81" i="24"/>
  <c r="H81" i="24"/>
  <c r="H82" i="24" s="1"/>
  <c r="I81" i="24"/>
  <c r="J81" i="24"/>
  <c r="K81" i="24"/>
  <c r="E82" i="24"/>
  <c r="F82" i="24"/>
  <c r="G82" i="24"/>
  <c r="I82" i="24"/>
  <c r="J82" i="24"/>
  <c r="K82" i="24"/>
  <c r="C61" i="24"/>
  <c r="C67" i="24"/>
  <c r="C83" i="24" s="1"/>
  <c r="C41" i="24"/>
  <c r="C43" i="24"/>
  <c r="D61" i="24"/>
  <c r="D65" i="24" s="1"/>
  <c r="D67" i="24" s="1"/>
  <c r="D83" i="24" s="1"/>
  <c r="D41" i="24"/>
  <c r="D43" i="24"/>
  <c r="E83" i="24"/>
  <c r="F83" i="24"/>
  <c r="G83" i="24"/>
  <c r="H83" i="24"/>
  <c r="H84" i="24" s="1"/>
  <c r="I83" i="24"/>
  <c r="J83" i="24"/>
  <c r="J84" i="24" s="1"/>
  <c r="K83" i="24"/>
  <c r="K84" i="24" s="1"/>
  <c r="C10" i="24"/>
  <c r="C14" i="24" s="1"/>
  <c r="C16" i="24" s="1"/>
  <c r="C84" i="24" s="1"/>
  <c r="D10" i="24"/>
  <c r="D14" i="24" s="1"/>
  <c r="D16" i="24" s="1"/>
  <c r="E84" i="24"/>
  <c r="F84" i="24"/>
  <c r="G84" i="24"/>
  <c r="I84" i="24"/>
  <c r="B10" i="24"/>
  <c r="B14" i="24"/>
  <c r="B16" i="24" s="1"/>
  <c r="B84" i="24" s="1"/>
  <c r="B58" i="24"/>
  <c r="B61" i="24"/>
  <c r="B65" i="24"/>
  <c r="B67" i="24" s="1"/>
  <c r="B83" i="24" s="1"/>
  <c r="B41" i="24"/>
  <c r="B43" i="24"/>
  <c r="B81" i="24"/>
  <c r="B82" i="24" s="1"/>
  <c r="D44" i="24"/>
  <c r="C44" i="24"/>
  <c r="B44" i="24"/>
  <c r="D17" i="24"/>
  <c r="C17" i="24"/>
  <c r="B17" i="24"/>
  <c r="C37" i="22"/>
  <c r="D37" i="22"/>
  <c r="E37" i="22"/>
  <c r="F37" i="22"/>
  <c r="G37" i="22"/>
  <c r="I37" i="22"/>
  <c r="J37" i="22"/>
  <c r="K37" i="22"/>
  <c r="L37" i="22"/>
  <c r="M37" i="22"/>
  <c r="O37" i="22"/>
  <c r="B37" i="22"/>
  <c r="O17" i="22"/>
  <c r="O18" i="22"/>
  <c r="O19" i="22" s="1"/>
  <c r="D53" i="22"/>
  <c r="C53" i="22"/>
  <c r="B53" i="22"/>
  <c r="D46" i="22"/>
  <c r="D50" i="22"/>
  <c r="D52" i="22"/>
  <c r="C46" i="22"/>
  <c r="C50" i="22"/>
  <c r="C52" i="22" s="1"/>
  <c r="B46" i="22"/>
  <c r="B50" i="22" s="1"/>
  <c r="B52" i="22" s="1"/>
  <c r="D20" i="22"/>
  <c r="D23" i="22"/>
  <c r="C20" i="22"/>
  <c r="C23" i="22"/>
  <c r="B20" i="22"/>
  <c r="B23" i="22"/>
  <c r="D16" i="22"/>
  <c r="C16" i="22"/>
  <c r="B16" i="22"/>
  <c r="D12" i="22"/>
  <c r="C12" i="22"/>
  <c r="B12" i="22"/>
  <c r="D9" i="22"/>
  <c r="C9" i="22"/>
  <c r="C8" i="22" s="1"/>
  <c r="B9" i="22"/>
  <c r="B8" i="22"/>
  <c r="E39" i="32"/>
  <c r="E40" i="32" s="1"/>
  <c r="F39" i="32"/>
  <c r="D39" i="32"/>
  <c r="F40" i="32"/>
  <c r="R37" i="32"/>
  <c r="Q37" i="32"/>
  <c r="P37" i="32"/>
  <c r="O37" i="32"/>
  <c r="N37" i="32"/>
  <c r="M37" i="32"/>
  <c r="L37" i="32"/>
  <c r="K37" i="32"/>
  <c r="L25" i="32"/>
  <c r="M25" i="32"/>
  <c r="N25" i="32"/>
  <c r="O25" i="32"/>
  <c r="P25" i="32"/>
  <c r="Q25" i="32"/>
  <c r="R25" i="32"/>
  <c r="L26" i="32"/>
  <c r="M26" i="32"/>
  <c r="N26" i="32"/>
  <c r="O26" i="32"/>
  <c r="P26" i="32"/>
  <c r="Q26" i="32"/>
  <c r="R26" i="32"/>
  <c r="L27" i="32"/>
  <c r="M27" i="32"/>
  <c r="N27" i="32"/>
  <c r="O27" i="32"/>
  <c r="P27" i="32"/>
  <c r="Q27" i="32"/>
  <c r="R27" i="32"/>
  <c r="L28" i="32"/>
  <c r="M28" i="32"/>
  <c r="N28" i="32"/>
  <c r="O28" i="32"/>
  <c r="P28" i="32"/>
  <c r="Q28" i="32"/>
  <c r="R28" i="32"/>
  <c r="L29" i="32"/>
  <c r="M29" i="32"/>
  <c r="N29" i="32"/>
  <c r="O29" i="32"/>
  <c r="P29" i="32"/>
  <c r="Q29" i="32"/>
  <c r="R29" i="32"/>
  <c r="L30" i="32"/>
  <c r="M30" i="32"/>
  <c r="N30" i="32"/>
  <c r="O30" i="32"/>
  <c r="P30" i="32"/>
  <c r="Q30" i="32"/>
  <c r="R30" i="32"/>
  <c r="L31" i="32"/>
  <c r="M31" i="32"/>
  <c r="N31" i="32"/>
  <c r="O31" i="32"/>
  <c r="P31" i="32"/>
  <c r="Q31" i="32"/>
  <c r="R31" i="32"/>
  <c r="L32" i="32"/>
  <c r="M32" i="32"/>
  <c r="N32" i="32"/>
  <c r="O32" i="32"/>
  <c r="P32" i="32"/>
  <c r="Q32" i="32"/>
  <c r="R32" i="32"/>
  <c r="L33" i="32"/>
  <c r="M33" i="32"/>
  <c r="N33" i="32"/>
  <c r="O33" i="32"/>
  <c r="P33" i="32"/>
  <c r="Q33" i="32"/>
  <c r="R33" i="32"/>
  <c r="L34" i="32"/>
  <c r="M34" i="32"/>
  <c r="N34" i="32"/>
  <c r="O34" i="32"/>
  <c r="P34" i="32"/>
  <c r="Q34" i="32"/>
  <c r="R34" i="32"/>
  <c r="L35" i="32"/>
  <c r="M35" i="32"/>
  <c r="N35" i="32"/>
  <c r="O35" i="32"/>
  <c r="P35" i="32"/>
  <c r="Q35" i="32"/>
  <c r="R35" i="32"/>
  <c r="L36" i="32"/>
  <c r="M36" i="32"/>
  <c r="N36" i="32"/>
  <c r="O36" i="32"/>
  <c r="P36" i="32"/>
  <c r="Q36" i="32"/>
  <c r="R36" i="32"/>
  <c r="K26" i="32"/>
  <c r="K27" i="32"/>
  <c r="K28" i="32"/>
  <c r="K29" i="32"/>
  <c r="K30" i="32"/>
  <c r="K31" i="32"/>
  <c r="K32" i="32"/>
  <c r="K33" i="32"/>
  <c r="K34" i="32"/>
  <c r="K35" i="32"/>
  <c r="K36" i="32"/>
  <c r="K25" i="32"/>
  <c r="S14" i="2"/>
  <c r="S15" i="2"/>
  <c r="W15" i="2" s="1"/>
  <c r="Y15" i="2" s="1"/>
  <c r="W17" i="2"/>
  <c r="G18" i="2"/>
  <c r="W18" i="2"/>
  <c r="Y18" i="2" s="1"/>
  <c r="G22" i="2"/>
  <c r="Q23" i="2"/>
  <c r="Q27" i="2" s="1"/>
  <c r="V27" i="2"/>
  <c r="Y26" i="2"/>
  <c r="I30" i="2"/>
  <c r="G30" i="2"/>
  <c r="Y17" i="2"/>
  <c r="R48" i="9"/>
  <c r="R47" i="9"/>
  <c r="R46" i="9"/>
  <c r="R45" i="9"/>
  <c r="R44" i="9"/>
  <c r="R43" i="9"/>
  <c r="R42" i="9"/>
  <c r="I3" i="9"/>
  <c r="I4" i="9"/>
  <c r="I5" i="9"/>
  <c r="I6" i="9"/>
  <c r="I7" i="9"/>
  <c r="I8" i="9"/>
  <c r="I9" i="9"/>
  <c r="C57" i="9"/>
  <c r="C56" i="9"/>
  <c r="C55" i="9"/>
  <c r="C54" i="9"/>
  <c r="C53" i="9"/>
  <c r="C52" i="9"/>
  <c r="J84" i="9"/>
  <c r="I84" i="9"/>
  <c r="H84" i="9"/>
  <c r="G84" i="9"/>
  <c r="F84" i="9"/>
  <c r="E84" i="9"/>
  <c r="D84" i="9"/>
  <c r="C84" i="9"/>
  <c r="J83" i="9"/>
  <c r="I83" i="9"/>
  <c r="H83" i="9"/>
  <c r="G83" i="9"/>
  <c r="F83" i="9"/>
  <c r="E83" i="9"/>
  <c r="D83" i="9"/>
  <c r="C83" i="9"/>
  <c r="J82" i="9"/>
  <c r="I82" i="9"/>
  <c r="H82" i="9"/>
  <c r="G82" i="9"/>
  <c r="F82" i="9"/>
  <c r="E82" i="9"/>
  <c r="D82" i="9"/>
  <c r="C82" i="9"/>
  <c r="J81" i="9"/>
  <c r="I81" i="9"/>
  <c r="H81" i="9"/>
  <c r="G81" i="9"/>
  <c r="F81" i="9"/>
  <c r="E81" i="9"/>
  <c r="D81" i="9"/>
  <c r="C81" i="9"/>
  <c r="J80" i="9"/>
  <c r="I80" i="9"/>
  <c r="H80" i="9"/>
  <c r="G80" i="9"/>
  <c r="F80" i="9"/>
  <c r="E80" i="9"/>
  <c r="D80" i="9"/>
  <c r="C80" i="9"/>
  <c r="I79" i="9"/>
  <c r="H79" i="9"/>
  <c r="G79" i="9"/>
  <c r="F79" i="9"/>
  <c r="E79" i="9"/>
  <c r="D79" i="9"/>
  <c r="C79" i="9"/>
  <c r="J79" i="9"/>
  <c r="F71" i="9"/>
  <c r="G71" i="9"/>
  <c r="H71" i="9"/>
  <c r="I71" i="9"/>
  <c r="F72" i="9"/>
  <c r="G72" i="9"/>
  <c r="H72" i="9"/>
  <c r="I72" i="9"/>
  <c r="F73" i="9"/>
  <c r="G73" i="9"/>
  <c r="H73" i="9"/>
  <c r="I73" i="9"/>
  <c r="F74" i="9"/>
  <c r="G74" i="9"/>
  <c r="H74" i="9"/>
  <c r="I74" i="9"/>
  <c r="F75" i="9"/>
  <c r="G75" i="9"/>
  <c r="H75" i="9"/>
  <c r="I75" i="9"/>
  <c r="F76" i="9"/>
  <c r="G76" i="9"/>
  <c r="H76" i="9"/>
  <c r="I76" i="9"/>
  <c r="E71" i="9"/>
  <c r="E72" i="9"/>
  <c r="E73" i="9"/>
  <c r="E74" i="9"/>
  <c r="E75" i="9"/>
  <c r="E76" i="9"/>
  <c r="D71" i="9"/>
  <c r="D72" i="9"/>
  <c r="D73" i="9"/>
  <c r="D74" i="9"/>
  <c r="D75" i="9"/>
  <c r="D76" i="9"/>
  <c r="C72" i="9"/>
  <c r="C73" i="9"/>
  <c r="C74" i="9"/>
  <c r="C75" i="9"/>
  <c r="C76" i="9"/>
  <c r="C71" i="9"/>
  <c r="F27" i="18"/>
  <c r="E27" i="18"/>
  <c r="C10" i="18"/>
  <c r="C9" i="18"/>
  <c r="C8" i="18"/>
  <c r="C7" i="18"/>
  <c r="D7" i="18" s="1"/>
  <c r="C6" i="18"/>
  <c r="D6" i="18" s="1"/>
  <c r="C5" i="18"/>
  <c r="C4" i="18"/>
  <c r="C12" i="18"/>
  <c r="D4" i="18" s="1"/>
  <c r="F6" i="14"/>
  <c r="F13" i="14" s="1"/>
  <c r="F7" i="14"/>
  <c r="F8" i="14"/>
  <c r="F9" i="14"/>
  <c r="F10" i="14"/>
  <c r="F11" i="14"/>
  <c r="F5" i="14"/>
  <c r="D27" i="14"/>
  <c r="E27" i="14"/>
  <c r="D8" i="26"/>
  <c r="D15" i="26"/>
  <c r="D22" i="26"/>
  <c r="D30" i="26"/>
  <c r="D32" i="26" s="1"/>
  <c r="C8" i="26"/>
  <c r="C15" i="26"/>
  <c r="C22" i="26"/>
  <c r="C30" i="26"/>
  <c r="C32" i="26"/>
  <c r="B8" i="26"/>
  <c r="B15" i="26"/>
  <c r="B30" i="26" s="1"/>
  <c r="B32" i="26" s="1"/>
  <c r="B22" i="26"/>
  <c r="F52" i="16"/>
  <c r="H52" i="16"/>
  <c r="F53" i="16"/>
  <c r="H53" i="16" s="1"/>
  <c r="F54" i="16"/>
  <c r="H54" i="16"/>
  <c r="F55" i="16"/>
  <c r="H55" i="16"/>
  <c r="F56" i="16"/>
  <c r="H56" i="16"/>
  <c r="F57" i="16"/>
  <c r="H57" i="16" s="1"/>
  <c r="F59" i="16"/>
  <c r="H59" i="16"/>
  <c r="F51" i="16"/>
  <c r="H51" i="16" s="1"/>
  <c r="G59" i="16"/>
  <c r="E5" i="16"/>
  <c r="D39" i="16"/>
  <c r="E6" i="16"/>
  <c r="D40" i="16"/>
  <c r="E7" i="16"/>
  <c r="D41" i="16"/>
  <c r="E8" i="16"/>
  <c r="D42" i="16"/>
  <c r="E9" i="16"/>
  <c r="D43" i="16"/>
  <c r="E10" i="16"/>
  <c r="D44" i="16"/>
  <c r="E4" i="16"/>
  <c r="D38" i="16"/>
  <c r="I25" i="16"/>
  <c r="F25" i="16"/>
  <c r="L25" i="16"/>
  <c r="L31" i="16" s="1"/>
  <c r="I27" i="16"/>
  <c r="F27" i="16"/>
  <c r="L27" i="16"/>
  <c r="I29" i="16"/>
  <c r="L29" i="16" s="1"/>
  <c r="F29" i="16"/>
  <c r="J29" i="16" s="1"/>
  <c r="I23" i="16"/>
  <c r="F23" i="16"/>
  <c r="J23" i="16" s="1"/>
  <c r="I24" i="16"/>
  <c r="F24" i="16"/>
  <c r="G24" i="16" s="1"/>
  <c r="L24" i="16"/>
  <c r="I26" i="16"/>
  <c r="J26" i="16" s="1"/>
  <c r="F26" i="16"/>
  <c r="I28" i="16"/>
  <c r="F28" i="16"/>
  <c r="L28" i="16"/>
  <c r="H25" i="16"/>
  <c r="M25" i="16"/>
  <c r="H27" i="16"/>
  <c r="M27" i="16" s="1"/>
  <c r="H29" i="16"/>
  <c r="M29" i="16"/>
  <c r="M31" i="16"/>
  <c r="H23" i="16"/>
  <c r="M23" i="16" s="1"/>
  <c r="H24" i="16"/>
  <c r="M24" i="16" s="1"/>
  <c r="H26" i="16"/>
  <c r="M26" i="16"/>
  <c r="H28" i="16"/>
  <c r="M28" i="16"/>
  <c r="J25" i="16"/>
  <c r="J27" i="16"/>
  <c r="J28" i="16"/>
  <c r="E12" i="16"/>
  <c r="J31" i="16" l="1"/>
  <c r="D84" i="24"/>
  <c r="U20" i="2"/>
  <c r="Y25" i="2"/>
  <c r="M32" i="16"/>
  <c r="M30" i="16"/>
  <c r="P68" i="31"/>
  <c r="T68" i="31"/>
  <c r="G29" i="16"/>
  <c r="D8" i="18"/>
  <c r="G25" i="16"/>
  <c r="J24" i="16"/>
  <c r="G26" i="16"/>
  <c r="L23" i="16"/>
  <c r="BN13" i="31"/>
  <c r="L26" i="16"/>
  <c r="D12" i="18"/>
  <c r="G23" i="16"/>
  <c r="D27" i="18"/>
  <c r="BN1" i="31"/>
  <c r="O68" i="31"/>
  <c r="S68" i="31"/>
  <c r="BN17" i="31"/>
  <c r="E21" i="14"/>
  <c r="BN22" i="31" s="1"/>
  <c r="S23" i="31"/>
  <c r="D24" i="14"/>
  <c r="T25" i="31" s="1"/>
  <c r="D9" i="18"/>
  <c r="Q68" i="31"/>
  <c r="BN16" i="31"/>
  <c r="BN15" i="31"/>
  <c r="D24" i="18"/>
  <c r="D20" i="18"/>
  <c r="W26" i="31"/>
  <c r="W22" i="31"/>
  <c r="W20" i="31"/>
  <c r="AZ73" i="31"/>
  <c r="AH73" i="31"/>
  <c r="CB39" i="31" s="1"/>
  <c r="Q57" i="31"/>
  <c r="P57" i="31"/>
  <c r="O57" i="31"/>
  <c r="U57" i="31"/>
  <c r="S57" i="31"/>
  <c r="R57" i="31"/>
  <c r="BP42" i="31"/>
  <c r="BR42" i="31" s="1"/>
  <c r="CV42" i="31"/>
  <c r="AZ42" i="31" s="1"/>
  <c r="T57" i="31"/>
  <c r="W33" i="31"/>
  <c r="AB73" i="31"/>
  <c r="O23" i="2"/>
  <c r="O27" i="2" s="1"/>
  <c r="F50" i="19"/>
  <c r="F48" i="19"/>
  <c r="F49" i="19" s="1"/>
  <c r="F47" i="19"/>
  <c r="S24" i="2"/>
  <c r="W24" i="2" s="1"/>
  <c r="Y24" i="2" s="1"/>
  <c r="W14" i="2"/>
  <c r="Y14" i="2" s="1"/>
  <c r="D19" i="18"/>
  <c r="U22" i="31"/>
  <c r="BN19" i="31"/>
  <c r="W21" i="31"/>
  <c r="D21" i="14"/>
  <c r="R22" i="31" s="1"/>
  <c r="W13" i="2"/>
  <c r="Y13" i="2" s="1"/>
  <c r="C81" i="24"/>
  <c r="C82" i="24" s="1"/>
  <c r="BN18" i="31"/>
  <c r="D21" i="18"/>
  <c r="D22" i="18"/>
  <c r="E23" i="14"/>
  <c r="BN24" i="31" s="1"/>
  <c r="E19" i="14"/>
  <c r="BN20" i="31" s="1"/>
  <c r="BP71" i="31"/>
  <c r="BR71" i="31" s="1"/>
  <c r="D10" i="18"/>
  <c r="R68" i="31"/>
  <c r="I10" i="9"/>
  <c r="W23" i="31"/>
  <c r="E20" i="14"/>
  <c r="BN21" i="31" s="1"/>
  <c r="P22" i="31"/>
  <c r="Q23" i="31"/>
  <c r="R24" i="31"/>
  <c r="P21" i="31"/>
  <c r="R23" i="31"/>
  <c r="R21" i="31"/>
  <c r="S22" i="31"/>
  <c r="T23" i="31"/>
  <c r="U24" i="31"/>
  <c r="D19" i="14"/>
  <c r="U20" i="31" s="1"/>
  <c r="S21" i="31"/>
  <c r="T22" i="31"/>
  <c r="U23" i="31"/>
  <c r="P26" i="31"/>
  <c r="P23" i="31"/>
  <c r="Q24" i="31"/>
  <c r="S26" i="31"/>
  <c r="O23" i="31"/>
  <c r="O20" i="31"/>
  <c r="BP35" i="31"/>
  <c r="BR35" i="31" s="1"/>
  <c r="AC73" i="31"/>
  <c r="P21" i="2"/>
  <c r="G27" i="16"/>
  <c r="G28" i="16"/>
  <c r="D5" i="18"/>
  <c r="D8" i="22"/>
  <c r="D23" i="18"/>
  <c r="W24" i="31" s="1"/>
  <c r="BP1" i="31"/>
  <c r="AP73" i="31"/>
  <c r="CJ47" i="31" s="1"/>
  <c r="U68" i="31"/>
  <c r="W25" i="31"/>
  <c r="E22" i="14"/>
  <c r="BN23" i="31" s="1"/>
  <c r="O26" i="31"/>
  <c r="D23" i="14"/>
  <c r="D25" i="14"/>
  <c r="Q26" i="31" s="1"/>
  <c r="AX73" i="31"/>
  <c r="BE73" i="31"/>
  <c r="BP69" i="31"/>
  <c r="Q65" i="31"/>
  <c r="P65" i="31"/>
  <c r="O65" i="31"/>
  <c r="BP65" i="31" s="1"/>
  <c r="BR65" i="31" s="1"/>
  <c r="U65" i="31"/>
  <c r="S65" i="31"/>
  <c r="R65" i="31"/>
  <c r="P56" i="31"/>
  <c r="BP56" i="31" s="1"/>
  <c r="BR56" i="31" s="1"/>
  <c r="U56" i="31"/>
  <c r="T56" i="31"/>
  <c r="R56" i="31"/>
  <c r="CU41" i="31"/>
  <c r="AY41" i="31" s="1"/>
  <c r="BP41" i="31" s="1"/>
  <c r="BR41" i="31" s="1"/>
  <c r="Q56" i="31"/>
  <c r="L21" i="28"/>
  <c r="M20" i="28"/>
  <c r="BA73" i="31"/>
  <c r="BH73" i="31"/>
  <c r="AP19" i="31"/>
  <c r="AP2" i="31" s="1"/>
  <c r="R58" i="31"/>
  <c r="Q58" i="31"/>
  <c r="P58" i="31"/>
  <c r="CW43" i="31"/>
  <c r="BA43" i="31" s="1"/>
  <c r="BP43" i="31" s="1"/>
  <c r="BR43" i="31" s="1"/>
  <c r="T58" i="31"/>
  <c r="S58" i="31"/>
  <c r="BP70" i="31"/>
  <c r="X73" i="31"/>
  <c r="O59" i="31"/>
  <c r="S59" i="31"/>
  <c r="R59" i="31"/>
  <c r="Q59" i="31"/>
  <c r="P59" i="31"/>
  <c r="CX44" i="31"/>
  <c r="BB44" i="31" s="1"/>
  <c r="BP44" i="31"/>
  <c r="BR44" i="31" s="1"/>
  <c r="U59" i="31"/>
  <c r="T59" i="31"/>
  <c r="D5" i="17"/>
  <c r="D6" i="17"/>
  <c r="D7" i="17"/>
  <c r="D8" i="17"/>
  <c r="D12" i="17"/>
  <c r="D9" i="17"/>
  <c r="D10" i="17"/>
  <c r="U23" i="2"/>
  <c r="G47" i="19" s="1"/>
  <c r="AH19" i="31"/>
  <c r="AH2" i="31" s="1"/>
  <c r="T60" i="31"/>
  <c r="S60" i="31"/>
  <c r="R60" i="31"/>
  <c r="CY45" i="31"/>
  <c r="BC45" i="31" s="1"/>
  <c r="Q60" i="31"/>
  <c r="BP45" i="31"/>
  <c r="BR45" i="31" s="1"/>
  <c r="P60" i="31"/>
  <c r="O60" i="31"/>
  <c r="U60" i="31"/>
  <c r="O58" i="31"/>
  <c r="BP55" i="31"/>
  <c r="BR55" i="31" s="1"/>
  <c r="O51" i="31"/>
  <c r="S51" i="31"/>
  <c r="R51" i="31"/>
  <c r="Q51" i="31"/>
  <c r="P51" i="31"/>
  <c r="CP36" i="31"/>
  <c r="AT36" i="31" s="1"/>
  <c r="BP36" i="31"/>
  <c r="BR36" i="31" s="1"/>
  <c r="U51" i="31"/>
  <c r="T51" i="31"/>
  <c r="U61" i="31"/>
  <c r="T61" i="31"/>
  <c r="CZ46" i="31"/>
  <c r="BD46" i="31" s="1"/>
  <c r="BD73" i="31" s="1"/>
  <c r="S61" i="31"/>
  <c r="R61" i="31"/>
  <c r="Q61" i="31"/>
  <c r="O61" i="31"/>
  <c r="U53" i="31"/>
  <c r="T53" i="31"/>
  <c r="CR38" i="31"/>
  <c r="AV38" i="31" s="1"/>
  <c r="AV73" i="31" s="1"/>
  <c r="S53" i="31"/>
  <c r="R53" i="31"/>
  <c r="Q53" i="31"/>
  <c r="O53" i="31"/>
  <c r="AE14" i="31"/>
  <c r="AE18" i="31"/>
  <c r="AE15" i="31"/>
  <c r="AE16" i="31"/>
  <c r="AE13" i="31"/>
  <c r="AE17" i="31"/>
  <c r="BC73" i="31"/>
  <c r="AL19" i="31"/>
  <c r="AR19" i="31"/>
  <c r="AR2" i="31" s="1"/>
  <c r="T52" i="31"/>
  <c r="S52" i="31"/>
  <c r="R52" i="31"/>
  <c r="CQ37" i="31"/>
  <c r="AU37" i="31" s="1"/>
  <c r="AU73" i="31" s="1"/>
  <c r="Q52" i="31"/>
  <c r="P52" i="31"/>
  <c r="O52" i="31"/>
  <c r="BP52" i="31" s="1"/>
  <c r="BR52" i="31" s="1"/>
  <c r="U52" i="31"/>
  <c r="AI14" i="31"/>
  <c r="AI18" i="31"/>
  <c r="AI15" i="31"/>
  <c r="AI16" i="31"/>
  <c r="AI13" i="31"/>
  <c r="AI17" i="31"/>
  <c r="BG73" i="31"/>
  <c r="AN19" i="31"/>
  <c r="AN2" i="31" s="1"/>
  <c r="AT79" i="31"/>
  <c r="BP66" i="31"/>
  <c r="BP47" i="31"/>
  <c r="BR47" i="31" s="1"/>
  <c r="BP39" i="31"/>
  <c r="BR39" i="31" s="1"/>
  <c r="BB73" i="31"/>
  <c r="BF73" i="31"/>
  <c r="Y73" i="31"/>
  <c r="BP67" i="31"/>
  <c r="P64" i="31"/>
  <c r="O64" i="31"/>
  <c r="U64" i="31"/>
  <c r="T64" i="31"/>
  <c r="R64" i="31"/>
  <c r="DC49" i="31"/>
  <c r="BG49" i="31" s="1"/>
  <c r="BP49" i="31" s="1"/>
  <c r="BR49" i="31" s="1"/>
  <c r="Q64" i="31"/>
  <c r="AM14" i="31"/>
  <c r="AM18" i="31"/>
  <c r="AM15" i="31"/>
  <c r="AM16" i="31"/>
  <c r="AM13" i="31"/>
  <c r="AM17" i="31"/>
  <c r="P63" i="31"/>
  <c r="M14" i="28"/>
  <c r="AO15" i="31"/>
  <c r="AQ17" i="31"/>
  <c r="AQ13" i="31"/>
  <c r="AS15" i="31"/>
  <c r="Q63" i="31"/>
  <c r="AF15" i="31"/>
  <c r="AG18" i="31"/>
  <c r="AG14" i="31"/>
  <c r="AO18" i="31"/>
  <c r="AO14" i="31"/>
  <c r="AO19" i="31" s="1"/>
  <c r="AO2" i="31" s="1"/>
  <c r="AR15" i="31"/>
  <c r="AS18" i="31"/>
  <c r="AS14" i="31"/>
  <c r="F47" i="34"/>
  <c r="F39" i="34"/>
  <c r="F31" i="34"/>
  <c r="F23" i="34"/>
  <c r="F15" i="34"/>
  <c r="F7" i="34"/>
  <c r="I3" i="7"/>
  <c r="F46" i="34"/>
  <c r="F38" i="34"/>
  <c r="F30" i="34"/>
  <c r="F22" i="34"/>
  <c r="F14" i="34"/>
  <c r="F6" i="34"/>
  <c r="F48" i="34" s="1"/>
  <c r="D3" i="34"/>
  <c r="AF18" i="31"/>
  <c r="AF14" i="31"/>
  <c r="AG17" i="31"/>
  <c r="AN18" i="31"/>
  <c r="AO17" i="31"/>
  <c r="AR18" i="31"/>
  <c r="AS17" i="31"/>
  <c r="X21" i="31"/>
  <c r="I66" i="13"/>
  <c r="H3" i="7"/>
  <c r="F45" i="34"/>
  <c r="F37" i="34"/>
  <c r="F29" i="34"/>
  <c r="F21" i="34"/>
  <c r="F13" i="34"/>
  <c r="F5" i="34"/>
  <c r="Q10" i="19"/>
  <c r="AF17" i="31"/>
  <c r="F43" i="34"/>
  <c r="F35" i="34"/>
  <c r="F27" i="34"/>
  <c r="F19" i="34"/>
  <c r="F11" i="34"/>
  <c r="BP58" i="31" l="1"/>
  <c r="BR58" i="31" s="1"/>
  <c r="W21" i="2"/>
  <c r="Y21" i="2" s="1"/>
  <c r="P27" i="2"/>
  <c r="AN73" i="31"/>
  <c r="CH45" i="31" s="1"/>
  <c r="BP53" i="31"/>
  <c r="BR53" i="31" s="1"/>
  <c r="BP61" i="31"/>
  <c r="BR61" i="31" s="1"/>
  <c r="BP51" i="31"/>
  <c r="G23" i="2"/>
  <c r="S24" i="31"/>
  <c r="T24" i="31"/>
  <c r="O24" i="31"/>
  <c r="P24" i="31"/>
  <c r="P20" i="31"/>
  <c r="S25" i="31"/>
  <c r="BP68" i="31"/>
  <c r="Q25" i="31"/>
  <c r="BP33" i="31"/>
  <c r="BR33" i="31" s="1"/>
  <c r="L19" i="2"/>
  <c r="BP57" i="31"/>
  <c r="BR57" i="31" s="1"/>
  <c r="L32" i="16"/>
  <c r="J32" i="16" s="1"/>
  <c r="L30" i="16"/>
  <c r="BN34" i="31"/>
  <c r="U27" i="2"/>
  <c r="P25" i="31"/>
  <c r="G11" i="2" s="1"/>
  <c r="Q20" i="31"/>
  <c r="U25" i="31"/>
  <c r="BN73" i="31"/>
  <c r="AJ13" i="31"/>
  <c r="AJ17" i="31"/>
  <c r="AJ14" i="31"/>
  <c r="BP14" i="31" s="1"/>
  <c r="AJ18" i="31"/>
  <c r="BP18" i="31" s="1"/>
  <c r="AJ15" i="31"/>
  <c r="BP15" i="31" s="1"/>
  <c r="AJ16" i="31"/>
  <c r="BP16" i="31" s="1"/>
  <c r="AK16" i="31"/>
  <c r="AK13" i="31"/>
  <c r="AK17" i="31"/>
  <c r="BP17" i="31" s="1"/>
  <c r="AK14" i="31"/>
  <c r="AK18" i="31"/>
  <c r="AK15" i="31"/>
  <c r="AY73" i="31"/>
  <c r="AI19" i="31"/>
  <c r="AI73" i="31"/>
  <c r="CC40" i="31" s="1"/>
  <c r="AI2" i="31"/>
  <c r="BP37" i="31"/>
  <c r="BR37" i="31" s="1"/>
  <c r="BP38" i="31"/>
  <c r="BR38" i="31" s="1"/>
  <c r="BP46" i="31"/>
  <c r="BR46" i="31" s="1"/>
  <c r="AT73" i="31"/>
  <c r="S22" i="2"/>
  <c r="P32" i="31"/>
  <c r="BP32" i="31" s="1"/>
  <c r="BR32" i="31" s="1"/>
  <c r="W63" i="31"/>
  <c r="L23" i="2" s="1"/>
  <c r="M11" i="2"/>
  <c r="M27" i="2" s="1"/>
  <c r="D48" i="34"/>
  <c r="G3" i="34"/>
  <c r="AR73" i="31"/>
  <c r="CL49" i="31" s="1"/>
  <c r="AQ19" i="31"/>
  <c r="AQ73" i="31" s="1"/>
  <c r="CK48" i="31" s="1"/>
  <c r="BJ59" i="31"/>
  <c r="BJ73" i="31" s="1"/>
  <c r="BR67" i="31"/>
  <c r="R3" i="7"/>
  <c r="BP60" i="31"/>
  <c r="BR60" i="31" s="1"/>
  <c r="BP59" i="31"/>
  <c r="BR59" i="31" s="1"/>
  <c r="BL28" i="31"/>
  <c r="BR69" i="31"/>
  <c r="R25" i="31"/>
  <c r="Q22" i="31"/>
  <c r="O22" i="31"/>
  <c r="S20" i="31"/>
  <c r="AF19" i="31"/>
  <c r="AF2" i="31" s="1"/>
  <c r="M21" i="28"/>
  <c r="N20" i="28"/>
  <c r="O25" i="31"/>
  <c r="AE19" i="31"/>
  <c r="U34" i="31"/>
  <c r="U73" i="31" s="1"/>
  <c r="R20" i="31"/>
  <c r="AS19" i="31"/>
  <c r="AS2" i="31" s="1"/>
  <c r="BP64" i="31"/>
  <c r="BR64" i="31" s="1"/>
  <c r="AL73" i="31"/>
  <c r="CF43" i="31" s="1"/>
  <c r="AL2" i="31"/>
  <c r="AA63" i="31"/>
  <c r="AG73" i="31"/>
  <c r="CA38" i="31" s="1"/>
  <c r="AG19" i="31"/>
  <c r="AG2" i="31" s="1"/>
  <c r="N14" i="28"/>
  <c r="M15" i="28"/>
  <c r="AM19" i="31"/>
  <c r="AM2" i="31" s="1"/>
  <c r="BI59" i="31"/>
  <c r="BR66" i="31"/>
  <c r="BM28" i="31"/>
  <c r="BR70" i="31"/>
  <c r="R26" i="31"/>
  <c r="U26" i="31"/>
  <c r="T20" i="31"/>
  <c r="T26" i="31"/>
  <c r="AO73" i="31"/>
  <c r="CI46" i="31" s="1"/>
  <c r="J85" i="31" l="1"/>
  <c r="BR15" i="31"/>
  <c r="M85" i="31"/>
  <c r="BR18" i="31"/>
  <c r="I85" i="31"/>
  <c r="BR14" i="31"/>
  <c r="L85" i="31"/>
  <c r="BR17" i="31"/>
  <c r="O73" i="31"/>
  <c r="BR16" i="31"/>
  <c r="K85" i="31"/>
  <c r="AT77" i="31"/>
  <c r="AT75" i="31"/>
  <c r="AT76" i="31"/>
  <c r="BR51" i="31"/>
  <c r="N15" i="28"/>
  <c r="O14" i="28"/>
  <c r="O15" i="28" s="1"/>
  <c r="W73" i="31"/>
  <c r="R34" i="31"/>
  <c r="R73" i="31" s="1"/>
  <c r="O34" i="31"/>
  <c r="S34" i="31"/>
  <c r="S73" i="31"/>
  <c r="G7" i="34"/>
  <c r="G21" i="34"/>
  <c r="G36" i="34"/>
  <c r="G27" i="34"/>
  <c r="G13" i="34"/>
  <c r="G28" i="34"/>
  <c r="G11" i="34"/>
  <c r="G34" i="34"/>
  <c r="G22" i="34"/>
  <c r="G16" i="34"/>
  <c r="G48" i="34" s="1"/>
  <c r="G46" i="34"/>
  <c r="G5" i="34"/>
  <c r="G20" i="34"/>
  <c r="G41" i="34"/>
  <c r="G24" i="34"/>
  <c r="G37" i="34"/>
  <c r="G47" i="34"/>
  <c r="G40" i="34"/>
  <c r="G38" i="34"/>
  <c r="G12" i="34"/>
  <c r="G4" i="34"/>
  <c r="G26" i="34"/>
  <c r="G33" i="34"/>
  <c r="G32" i="34"/>
  <c r="G30" i="34"/>
  <c r="G18" i="34"/>
  <c r="G25" i="34"/>
  <c r="G14" i="34"/>
  <c r="G39" i="34"/>
  <c r="G31" i="34"/>
  <c r="G15" i="34"/>
  <c r="G8" i="34"/>
  <c r="G6" i="34"/>
  <c r="G29" i="34"/>
  <c r="G44" i="34"/>
  <c r="G35" i="34"/>
  <c r="G19" i="34"/>
  <c r="G42" i="34"/>
  <c r="G45" i="34"/>
  <c r="G10" i="34"/>
  <c r="G17" i="34"/>
  <c r="G23" i="34"/>
  <c r="G43" i="34"/>
  <c r="G9" i="34"/>
  <c r="G30" i="16"/>
  <c r="J30" i="16"/>
  <c r="G31" i="16"/>
  <c r="P34" i="31"/>
  <c r="P73" i="31"/>
  <c r="BI73" i="31"/>
  <c r="T23" i="2"/>
  <c r="T27" i="2" s="1"/>
  <c r="AK2" i="31"/>
  <c r="AK19" i="31"/>
  <c r="AK73" i="31"/>
  <c r="CE42" i="31" s="1"/>
  <c r="W19" i="2"/>
  <c r="L27" i="2"/>
  <c r="H16" i="2"/>
  <c r="BL73" i="31"/>
  <c r="J16" i="2"/>
  <c r="J27" i="2" s="1"/>
  <c r="AJ19" i="31"/>
  <c r="R10" i="2" s="1"/>
  <c r="AJ2" i="31"/>
  <c r="AJ73" i="31"/>
  <c r="CD41" i="31" s="1"/>
  <c r="T34" i="31"/>
  <c r="T73" i="31"/>
  <c r="AA73" i="31"/>
  <c r="N23" i="2"/>
  <c r="N27" i="2" s="1"/>
  <c r="AE2" i="31"/>
  <c r="AM73" i="31"/>
  <c r="CG44" i="31" s="1"/>
  <c r="BP13" i="31"/>
  <c r="O20" i="28"/>
  <c r="O21" i="28" s="1"/>
  <c r="N21" i="28"/>
  <c r="AQ2" i="31"/>
  <c r="AE73" i="31"/>
  <c r="S27" i="2"/>
  <c r="W22" i="2"/>
  <c r="Y22" i="2" s="1"/>
  <c r="Q34" i="31"/>
  <c r="Q73" i="31" s="1"/>
  <c r="BK28" i="31"/>
  <c r="BR68" i="31"/>
  <c r="AF73" i="31"/>
  <c r="BZ37" i="31" s="1"/>
  <c r="BM73" i="31"/>
  <c r="K16" i="2"/>
  <c r="K27" i="2" s="1"/>
  <c r="AS73" i="31"/>
  <c r="CM50" i="31" s="1"/>
  <c r="BP63" i="31"/>
  <c r="BR63" i="31" s="1"/>
  <c r="AU75" i="31" l="1"/>
  <c r="AV75" i="31" s="1"/>
  <c r="V28" i="31"/>
  <c r="BP28" i="31" s="1"/>
  <c r="BR28" i="31" s="1"/>
  <c r="W16" i="2"/>
  <c r="Y16" i="2" s="1"/>
  <c r="BK73" i="31"/>
  <c r="I16" i="2"/>
  <c r="I27" i="2" s="1"/>
  <c r="M26" i="31"/>
  <c r="M22" i="31"/>
  <c r="M25" i="31"/>
  <c r="M20" i="31"/>
  <c r="M23" i="31"/>
  <c r="M21" i="31"/>
  <c r="M24" i="31"/>
  <c r="I23" i="31"/>
  <c r="I22" i="31"/>
  <c r="I26" i="31"/>
  <c r="I21" i="31"/>
  <c r="I24" i="31"/>
  <c r="I20" i="31"/>
  <c r="I25" i="31"/>
  <c r="BY36" i="31"/>
  <c r="AD77" i="31"/>
  <c r="K21" i="31"/>
  <c r="K20" i="31"/>
  <c r="K24" i="31"/>
  <c r="K25" i="31"/>
  <c r="K23" i="31"/>
  <c r="K26" i="31"/>
  <c r="K22" i="31"/>
  <c r="W23" i="2"/>
  <c r="Y23" i="2" s="1"/>
  <c r="A28" i="2"/>
  <c r="BS65" i="31"/>
  <c r="H85" i="31"/>
  <c r="BR13" i="31"/>
  <c r="G20" i="2"/>
  <c r="R27" i="2"/>
  <c r="W10" i="2"/>
  <c r="BP19" i="31"/>
  <c r="L24" i="31"/>
  <c r="L23" i="31"/>
  <c r="L22" i="31"/>
  <c r="L21" i="31"/>
  <c r="L26" i="31"/>
  <c r="L25" i="31"/>
  <c r="L20" i="31"/>
  <c r="J26" i="31"/>
  <c r="J21" i="31"/>
  <c r="J25" i="31"/>
  <c r="J22" i="31"/>
  <c r="J24" i="31"/>
  <c r="J20" i="31"/>
  <c r="J23" i="31"/>
  <c r="N27" i="31" l="1"/>
  <c r="BR19" i="31"/>
  <c r="K73" i="31"/>
  <c r="L73" i="31"/>
  <c r="Y10" i="2"/>
  <c r="M73" i="31"/>
  <c r="J73" i="31"/>
  <c r="G27" i="2"/>
  <c r="H20" i="2"/>
  <c r="V34" i="31" s="1"/>
  <c r="BP34" i="31" s="1"/>
  <c r="BR34" i="31" s="1"/>
  <c r="I73" i="31"/>
  <c r="H22" i="31"/>
  <c r="H26" i="31"/>
  <c r="H24" i="31"/>
  <c r="H21" i="31"/>
  <c r="H23" i="31"/>
  <c r="H20" i="31"/>
  <c r="H25" i="31"/>
  <c r="V26" i="31" l="1"/>
  <c r="BP26" i="31" s="1"/>
  <c r="BR26" i="31" s="1"/>
  <c r="V22" i="31"/>
  <c r="BP22" i="31" s="1"/>
  <c r="BR22" i="31" s="1"/>
  <c r="V25" i="31"/>
  <c r="BP25" i="31" s="1"/>
  <c r="BR25" i="31" s="1"/>
  <c r="H73" i="31"/>
  <c r="F11" i="2"/>
  <c r="B25" i="31"/>
  <c r="V20" i="31"/>
  <c r="V23" i="31"/>
  <c r="BP23" i="31" s="1"/>
  <c r="BR23" i="31" s="1"/>
  <c r="V21" i="31"/>
  <c r="BP21" i="31" s="1"/>
  <c r="BR21" i="31" s="1"/>
  <c r="W20" i="2"/>
  <c r="Y20" i="2" s="1"/>
  <c r="N73" i="31"/>
  <c r="BP27" i="31"/>
  <c r="BR27" i="31" s="1"/>
  <c r="F12" i="2"/>
  <c r="W12" i="2" s="1"/>
  <c r="Y12" i="2" s="1"/>
  <c r="V24" i="31"/>
  <c r="BP24" i="31" s="1"/>
  <c r="BR24" i="31" s="1"/>
  <c r="V73" i="31" l="1"/>
  <c r="BP75" i="31" s="1"/>
  <c r="H11" i="2"/>
  <c r="H27" i="2" s="1"/>
  <c r="BP20" i="31"/>
  <c r="W11" i="2"/>
  <c r="F27" i="2"/>
  <c r="BR20" i="31" l="1"/>
  <c r="BP73" i="31"/>
  <c r="Y11" i="2"/>
  <c r="W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jgarcia</author>
    <author>Juan</author>
    <author>Juan Manuel García Carpio</author>
    <author>Juan Manuel Garcia</author>
    <author>JMRLGC</author>
  </authors>
  <commentList>
    <comment ref="U10" authorId="0" shapeId="0" xr:uid="{E419733E-4264-4E7F-AFDD-D457EDC814F1}">
      <text>
        <r>
          <rPr>
            <sz val="8"/>
            <color indexed="81"/>
            <rFont val="Tahoma"/>
          </rPr>
          <t xml:space="preserve"> Renta privada de factores
</t>
        </r>
      </text>
    </comment>
    <comment ref="F11" authorId="1" shapeId="0" xr:uid="{638138D2-78B1-4369-AD31-C701C997D07E}">
      <text>
        <r>
          <rPr>
            <b/>
            <sz val="9"/>
            <color indexed="81"/>
            <rFont val="Tahoma"/>
          </rPr>
          <t>Remuneraciones brutas por producción interna (dependiente e independiente) más renta de afuera por trabajo</t>
        </r>
      </text>
    </comment>
    <comment ref="L11" authorId="2" shapeId="0" xr:uid="{A54C8F43-7F34-447B-8D30-E1805833D16A}">
      <text>
        <r>
          <rPr>
            <b/>
            <sz val="15"/>
            <color indexed="81"/>
            <rFont val="Garamond"/>
            <family val="1"/>
          </rPr>
          <t>Considera las transferencias del gobierno.</t>
        </r>
      </text>
    </comment>
    <comment ref="U11" authorId="3" shapeId="0" xr:uid="{78DEA225-D391-47C3-9EDD-A4B09B075DF1}">
      <text>
        <r>
          <rPr>
            <b/>
            <sz val="8"/>
            <color indexed="81"/>
            <rFont val="Tahoma"/>
          </rPr>
          <t>Transferencias a hogares.</t>
        </r>
      </text>
    </comment>
    <comment ref="F12" authorId="1" shapeId="0" xr:uid="{4C699080-91C5-4523-BD13-9E9DB14DBE47}">
      <text>
        <r>
          <rPr>
            <b/>
            <sz val="9"/>
            <color indexed="81"/>
            <rFont val="Tahoma"/>
          </rPr>
          <t>Excedente de explotación por producción interna (con depreciación) más renta de afuera por capital más impuestos directos pagados por empresas</t>
        </r>
        <r>
          <rPr>
            <sz val="9"/>
            <color indexed="81"/>
            <rFont val="Tahoma"/>
          </rPr>
          <t xml:space="preserve">
</t>
        </r>
      </text>
    </comment>
    <comment ref="L12" authorId="3" shapeId="0" xr:uid="{AC14ADA5-0F6F-41AF-99C9-6091407189D6}">
      <text>
        <r>
          <rPr>
            <b/>
            <sz val="15"/>
            <color indexed="81"/>
            <rFont val="Garamond"/>
            <family val="1"/>
          </rPr>
          <t>financiamiento interno neto.</t>
        </r>
      </text>
    </comment>
    <comment ref="U12" authorId="3" shapeId="0" xr:uid="{16823D87-760C-42F6-8E4E-4A0433100099}">
      <text>
        <r>
          <rPr>
            <b/>
            <sz val="8"/>
            <color indexed="81"/>
            <rFont val="Tahoma"/>
          </rPr>
          <t>Transferencias a empresas</t>
        </r>
      </text>
    </comment>
    <comment ref="G13" authorId="3" shapeId="0" xr:uid="{841BB85D-0831-43CB-82F6-1F8E410C341D}">
      <text>
        <r>
          <rPr>
            <b/>
            <sz val="8"/>
            <color indexed="81"/>
            <rFont val="Tahoma"/>
          </rPr>
          <t>Suma de impuestos a los ingresos y al patrimonio, los otros ingresos tributarios sin otros impuestos a la producción (FONAVI, licencias, patrimonio empresarial,SENATI) y un tercio del FONAVI.</t>
        </r>
      </text>
    </comment>
    <comment ref="G14" authorId="3" shapeId="0" xr:uid="{05522547-81A8-4000-8AB0-F0694C8B16D7}">
      <text>
        <r>
          <rPr>
            <b/>
            <sz val="8"/>
            <color indexed="81"/>
            <rFont val="Tahoma"/>
          </rPr>
          <t xml:space="preserve">Impuestos y derechos de importación a consumo </t>
        </r>
      </text>
    </comment>
    <comment ref="U16" authorId="1" shapeId="0" xr:uid="{984D2337-F814-43CC-B947-8EE31A299490}">
      <text>
        <r>
          <rPr>
            <b/>
            <sz val="9"/>
            <color indexed="81"/>
            <rFont val="Tahoma"/>
          </rPr>
          <t>Transferencias al gobierno</t>
        </r>
        <r>
          <rPr>
            <sz val="9"/>
            <color indexed="81"/>
            <rFont val="Tahoma"/>
          </rPr>
          <t xml:space="preserve">
</t>
        </r>
      </text>
    </comment>
    <comment ref="U20" authorId="3" shapeId="0" xr:uid="{D8CAB387-74AF-49CB-936B-327C2C1DB01C}">
      <text>
        <r>
          <rPr>
            <b/>
            <sz val="8"/>
            <color indexed="81"/>
            <rFont val="Tahoma"/>
          </rPr>
          <t>Considera cuenta financiera del sector privado y del sector publico, capitales de corto plazo, el financiamiento excepcional del gobierno, y los errores y omisiones, además de flujo neto de reservas.</t>
        </r>
      </text>
    </comment>
    <comment ref="V25" authorId="4" shapeId="0" xr:uid="{35AE60DE-ABF3-4935-998C-CCADC6D8E0A7}">
      <text>
        <r>
          <rPr>
            <sz val="10"/>
            <color indexed="81"/>
            <rFont val="Tahoma"/>
          </rPr>
          <t xml:space="preserve">Financiamiento externo necesario para pago de deuda
</t>
        </r>
      </text>
    </comment>
    <comment ref="L26" authorId="4" shapeId="0" xr:uid="{C30218D8-0667-4CC9-A958-D17F63FFA272}">
      <text>
        <r>
          <rPr>
            <b/>
            <sz val="10"/>
            <color indexed="81"/>
            <rFont val="Tahoma"/>
          </rPr>
          <t>pago de deuda externa</t>
        </r>
        <r>
          <rPr>
            <sz val="10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DGAES</author>
  </authors>
  <commentList>
    <comment ref="Q10" authorId="0" shapeId="0" xr:uid="{D2237093-6BDC-4E64-A588-46AB4C78D733}">
      <text>
        <r>
          <rPr>
            <b/>
            <sz val="8"/>
            <color indexed="81"/>
            <rFont val="Tahoma"/>
          </rPr>
          <t>DGAES:</t>
        </r>
        <r>
          <rPr>
            <sz val="8"/>
            <color indexed="81"/>
            <rFont val="Tahoma"/>
          </rPr>
          <t xml:space="preserve">
xportaciones en soles paa el 2003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DGAES</author>
  </authors>
  <commentList>
    <comment ref="R6" authorId="0" shapeId="0" xr:uid="{C2E0224D-A3A4-46C0-9131-A4C5B573C85E}">
      <text>
        <r>
          <rPr>
            <b/>
            <sz val="8"/>
            <color indexed="81"/>
            <rFont val="Tahoma"/>
          </rPr>
          <t>DGAES:</t>
        </r>
        <r>
          <rPr>
            <sz val="8"/>
            <color indexed="81"/>
            <rFont val="Tahoma"/>
          </rPr>
          <t xml:space="preserve">
Inserte datos para el 2004 y modifiqe los datos de 2002 y 03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DGAES</author>
  </authors>
  <commentList>
    <comment ref="A3" authorId="0" shapeId="0" xr:uid="{8DA5CD86-2150-4681-9026-F24DB4482889}">
      <text>
        <r>
          <rPr>
            <b/>
            <sz val="8"/>
            <color indexed="81"/>
            <rFont val="Tahoma"/>
          </rPr>
          <t>DGAES:</t>
        </r>
        <r>
          <rPr>
            <sz val="8"/>
            <color indexed="81"/>
            <rFont val="Tahoma"/>
          </rPr>
          <t xml:space="preserve">
El cuadro actulizado no coincide con la serie anual hasta 2003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mugarelli</author>
  </authors>
  <commentList>
    <comment ref="E19" authorId="0" shapeId="0" xr:uid="{9D443316-960E-46FC-90DE-18D1685A4BB4}">
      <text>
        <r>
          <rPr>
            <b/>
            <sz val="8"/>
            <color indexed="81"/>
            <rFont val="Tahoma"/>
          </rPr>
          <t>mugarelli:</t>
        </r>
        <r>
          <rPr>
            <sz val="8"/>
            <color indexed="81"/>
            <rFont val="Tahoma"/>
          </rPr>
          <t xml:space="preserve">
Los datos de estos rubros no se encuentran en los cuadros </t>
        </r>
      </text>
    </comment>
    <comment ref="E68" authorId="0" shapeId="0" xr:uid="{9460BA90-8C52-4102-B5AA-8F4AA96858AA}">
      <text>
        <r>
          <rPr>
            <b/>
            <sz val="8"/>
            <color indexed="81"/>
            <rFont val="Tahoma"/>
          </rPr>
          <t>mugarelli:</t>
        </r>
        <r>
          <rPr>
            <sz val="8"/>
            <color indexed="81"/>
            <rFont val="Tahoma"/>
          </rPr>
          <t xml:space="preserve">
En los datos no se presentan estos rubros.  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DGAES</author>
  </authors>
  <commentList>
    <comment ref="O7" authorId="0" shapeId="0" xr:uid="{4A11DA85-CB84-452C-9C21-037C1F84E387}">
      <text>
        <r>
          <rPr>
            <b/>
            <sz val="8"/>
            <color indexed="81"/>
            <rFont val="Tahoma"/>
          </rPr>
          <t>DGAES:</t>
        </r>
        <r>
          <rPr>
            <sz val="8"/>
            <color indexed="81"/>
            <rFont val="Tahoma"/>
          </rPr>
          <t xml:space="preserve">
Extraidos del MEF book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mugarelli</author>
  </authors>
  <commentList>
    <comment ref="E1" authorId="0" shapeId="0" xr:uid="{80E833E8-80EF-4FD5-AE6E-52402527D8B1}">
      <text>
        <r>
          <rPr>
            <b/>
            <sz val="8"/>
            <color indexed="81"/>
            <rFont val="Tahoma"/>
          </rPr>
          <t>mugarelli:</t>
        </r>
        <r>
          <rPr>
            <sz val="8"/>
            <color indexed="81"/>
            <rFont val="Tahoma"/>
          </rPr>
          <t xml:space="preserve">
Falta completar </t>
        </r>
      </text>
    </comment>
  </commentList>
</comments>
</file>

<file path=xl/sharedStrings.xml><?xml version="1.0" encoding="utf-8"?>
<sst xmlns="http://schemas.openxmlformats.org/spreadsheetml/2006/main" count="2068" uniqueCount="973">
  <si>
    <t>totales</t>
  </si>
  <si>
    <t>Servicios gubernamentales</t>
  </si>
  <si>
    <t>Servicios financieros y de seguros, servicios a empresas, servicios mercantes a hogares</t>
  </si>
  <si>
    <t>Productos químicos básicos, abonos, y productos farmacéuticos, productos de papel, impresión y edición</t>
  </si>
  <si>
    <t xml:space="preserve">Restaurantes y hoteles, servicios no mercantes a hogares, alquiler de vivienda </t>
  </si>
  <si>
    <t>Bebidas y tabaco, lácteos y otros productos alimenticios, molinería y panadería, azúcar</t>
  </si>
  <si>
    <t>Urbano Asalariado no calificado</t>
  </si>
  <si>
    <t>Urbano Asalariado calificado</t>
  </si>
  <si>
    <t xml:space="preserve">Urbano Independiente no calificado  </t>
  </si>
  <si>
    <t>Urbano Independiente calificado</t>
  </si>
  <si>
    <t>Rural no calificado</t>
  </si>
  <si>
    <t>Rural calificado</t>
  </si>
  <si>
    <t>Fuente:    MEF, Banco de la Nación y BCRP.</t>
  </si>
  <si>
    <t>Elaboración:   Subgerencia del Sector Público.</t>
  </si>
  <si>
    <t>2002</t>
  </si>
  <si>
    <t>Financiamiento externo bruto</t>
  </si>
  <si>
    <t>Cuentas nacionales</t>
  </si>
  <si>
    <t>Actividades de producción</t>
  </si>
  <si>
    <t>Actividades</t>
  </si>
  <si>
    <t>Ingresos=costos</t>
  </si>
  <si>
    <t>C.  GOBIERNO CENTRAL</t>
  </si>
  <si>
    <t>22.5  OPERACIONES DEL GOBIERNO CENTRAL CONSOLIDADO, 1991 - 2000</t>
  </si>
  <si>
    <t>Operaciones</t>
  </si>
  <si>
    <t>Millones de nuevos soles</t>
  </si>
  <si>
    <t>I.  Ingresos corrientes</t>
  </si>
  <si>
    <t>II.  Gastos no financieros</t>
  </si>
  <si>
    <t xml:space="preserve">     1.  Gastos corrientes</t>
  </si>
  <si>
    <t xml:space="preserve">     2.  Gastos de capital</t>
  </si>
  <si>
    <t>III.  Otros  1/</t>
  </si>
  <si>
    <t>IV.  Resultado primario</t>
  </si>
  <si>
    <t>V.  Intereses</t>
  </si>
  <si>
    <t>VI.  Resultado Económico</t>
  </si>
  <si>
    <t>VII.   Financiamiento neto</t>
  </si>
  <si>
    <t xml:space="preserve">         1.  Externo</t>
  </si>
  <si>
    <t xml:space="preserve">         2.  Interno</t>
  </si>
  <si>
    <t xml:space="preserve">         3.  Privatización</t>
  </si>
  <si>
    <t>Nota: Formado por  las Operaciones del Gobierno Central y las Operaciones del Resto del Gobierno Central</t>
  </si>
  <si>
    <t>1/  Deduce el pago al American International Group y al Convenio Perú-Alemania.</t>
  </si>
  <si>
    <t>Fuente: Banco Central de Reserva del Perú.</t>
  </si>
  <si>
    <t>22.6  OPERACIONES DEL GOBIERNO CENTRAL, 1991 - 2000</t>
  </si>
  <si>
    <t>Nota: Incluye a Ministerios, Fonavi - Mivivienda, Instituciones públicas, Universidades y Gobiernos regionales.</t>
  </si>
  <si>
    <t>22.8  INGRESOS CORRIENTES DEL GOBIERNO CENTRAL, 1991 - 2000</t>
  </si>
  <si>
    <t>Tipo de impuesto</t>
  </si>
  <si>
    <t>I  Ingresos corrientes</t>
  </si>
  <si>
    <t xml:space="preserve">A. Ingresos tributarios </t>
  </si>
  <si>
    <t>Impuesto a los ingresos</t>
  </si>
  <si>
    <t>Impuesto al patrimonio</t>
  </si>
  <si>
    <t>Impuesto a la importación</t>
  </si>
  <si>
    <t>Impuesto a la producción y consumo</t>
  </si>
  <si>
    <t>La distribución del consumo total por rama de actividad de la matriz de 1994 (que contiene autoconsumo) en gasto por consumo de hogares y en autoconsumo por tipos de hogares se ha hecho utilizando proporciones para cada rama a partir de los datos de la encuesta que incluyen información de montos de autoconsumo por rubros (subsisten diferencias porque se usa el dato del consumo total de la matriz valorado a precios básicos, o costos de producción, y en la encuesta los hogares valorizan el autoconsumo a su valor de costo y el consumo a precios de mercado).</t>
  </si>
  <si>
    <t>En la matriz de Zimbabwe los impuestos indirectos no afectan la demanda final (son impuestos a la producción y no a las ventas) mientras que en el Perú el IGV si grava la demanda final. El valor de estos impuestos pagados por el consumo de hogares, la inversión, y la exportación sirven para financiar el consumo de gobierno, y se incluyen como ingresos del gobierno.</t>
  </si>
  <si>
    <t>El valor del consumo de bienes de mercado de cada rama por tipo de hogar se ha obtenido multiplicando el valor no autoconsumido y las importaciones totales por rama de actividad por las proporciones de consumo en cada rama proviente de los diferentes tipos de hogares</t>
  </si>
  <si>
    <t xml:space="preserve">              </t>
  </si>
  <si>
    <t>Utilidades no repartidas después de impuestos</t>
  </si>
  <si>
    <t>Gastos de empresas</t>
  </si>
  <si>
    <t>Impuestos directos a empresas</t>
  </si>
  <si>
    <t>Transferencias a hogares</t>
  </si>
  <si>
    <t>Transferencias a empresas</t>
  </si>
  <si>
    <t>Ahorro del gobierno (-déficit primario)</t>
  </si>
  <si>
    <t>Gastos del gobierno</t>
  </si>
  <si>
    <t>Ingreso factorial de afuera</t>
  </si>
  <si>
    <t>Transferencias a hogares de afuera</t>
  </si>
  <si>
    <t>Transferencias a empresas de afuera</t>
  </si>
  <si>
    <t>Transferencias al gobierno de afuera</t>
  </si>
  <si>
    <t>Ahorro externo (-Balanza en cuenta corriente)</t>
  </si>
  <si>
    <t>Flujo de ingresos de afuera</t>
  </si>
  <si>
    <t>Flujo de gastos hacia fuera</t>
  </si>
  <si>
    <t>Demanda intermedia</t>
  </si>
  <si>
    <t>Valor agregado</t>
  </si>
  <si>
    <t>Impuestos directos a la producción</t>
  </si>
  <si>
    <t>Impuestos indirectos a la producción, impuestos al valor agregado</t>
  </si>
  <si>
    <t>Gastos de actividades</t>
  </si>
  <si>
    <t>Valor de bienes de mercado</t>
  </si>
  <si>
    <t>Márgenes de comercialización</t>
  </si>
  <si>
    <t>Impuestos a las ventas, tasas a la exportación</t>
  </si>
  <si>
    <t>Impuestos a la importación</t>
  </si>
  <si>
    <t>Total cambio de existencias</t>
  </si>
  <si>
    <t>Total impuestos directos</t>
  </si>
  <si>
    <t>Total impuestos indirectos</t>
  </si>
  <si>
    <t>Total derechos de importación</t>
  </si>
  <si>
    <t>Ingreso de factores</t>
  </si>
  <si>
    <t>Ingreso de hogares</t>
  </si>
  <si>
    <t>Ingreso de empresas</t>
  </si>
  <si>
    <t>Total de ingresos gobierno</t>
  </si>
  <si>
    <t>Total ahorro</t>
  </si>
  <si>
    <t>Ingreso actividades</t>
  </si>
  <si>
    <t>Total márgenes de comercialización</t>
  </si>
  <si>
    <t>Total inversión</t>
  </si>
  <si>
    <t>Los rubros de demanda intemedia y final incluyen bienes importados. Se han valorizado a precios al comprador (incluyendo márgenes e impuestos indirectos)</t>
  </si>
  <si>
    <t>Impuesto general a las ventas</t>
  </si>
  <si>
    <t xml:space="preserve">Impuesto selectivo al consumo </t>
  </si>
  <si>
    <t>Combustibles</t>
  </si>
  <si>
    <t>Otros</t>
  </si>
  <si>
    <t>Otros ingresos tributarios</t>
  </si>
  <si>
    <t>Documentos valorados</t>
  </si>
  <si>
    <t xml:space="preserve"> B. Ingresos no tributarios</t>
  </si>
  <si>
    <t>Fuente:    Banco Central de Reserva del Perú.</t>
  </si>
  <si>
    <t>22.9  COEFICIENTES DE PRESION FISCAL Y PRESION TRIBUTARIA, 1991 - 2000</t>
  </si>
  <si>
    <t>Coeficientes (%)</t>
  </si>
  <si>
    <t xml:space="preserve">PBI </t>
  </si>
  <si>
    <t>Año</t>
  </si>
  <si>
    <t>corrientes</t>
  </si>
  <si>
    <t>tributarios</t>
  </si>
  <si>
    <t>Presión</t>
  </si>
  <si>
    <t>global</t>
  </si>
  <si>
    <t>1/</t>
  </si>
  <si>
    <t>fiscal</t>
  </si>
  <si>
    <t>tributaria</t>
  </si>
  <si>
    <t>2/</t>
  </si>
  <si>
    <t>3/</t>
  </si>
  <si>
    <t xml:space="preserve">1997 </t>
  </si>
  <si>
    <t>1/    Los valores están expresados en Millones de Nuevos Soles.</t>
  </si>
  <si>
    <t>2/    Presión fiscal : Ingresos corrientes / P.B.I.</t>
  </si>
  <si>
    <t>3/    Presión tributaria : Ingresos tributarios / P.B.I.</t>
  </si>
  <si>
    <t>Fuente:  Banco Central de Reserva del Perú.</t>
  </si>
  <si>
    <t xml:space="preserve"> Instituto Nacional de Estadística e Informática - Dirección Nacional de Cuentas Nacionales</t>
  </si>
  <si>
    <t>22.12  GASTOS DEL GOBIERNO CENTRAL, SEGUN TIPO DE GASTO, 1991 - 2000</t>
  </si>
  <si>
    <t>Tipo de gasto</t>
  </si>
  <si>
    <t>Total  (I + II)</t>
  </si>
  <si>
    <t>I.  Gastos no financieros</t>
  </si>
  <si>
    <t>Porcentajes aproximados para excedentes</t>
  </si>
  <si>
    <t>(el sector agropecuario representa más del 10% del total de excedentes netos)</t>
  </si>
  <si>
    <t>Porcentaje de excedentes distribuidos</t>
  </si>
  <si>
    <t>14-18</t>
  </si>
  <si>
    <t>14.18 INGRESO PERCAPITA PROMEDIO ANUAL DEL HOGAR POR CONDICION DE ACTIVIDAD</t>
  </si>
  <si>
    <t>DEL JEFE DE HOGAR, SEGUN DOMINIOS DE ESTUDIO Y FUENTE DE INGRESO, 1997</t>
  </si>
  <si>
    <t>Dominios de estudio</t>
  </si>
  <si>
    <t>PEA</t>
  </si>
  <si>
    <t>No</t>
  </si>
  <si>
    <t>y fuentes de ingreso</t>
  </si>
  <si>
    <t>Ocupada</t>
  </si>
  <si>
    <t>Desocupada</t>
  </si>
  <si>
    <t>Autoconsumo 1/</t>
  </si>
  <si>
    <t>Trabajo dependiente 2/</t>
  </si>
  <si>
    <t>Trabajo independiente 2/</t>
  </si>
  <si>
    <t>Capital 3/</t>
  </si>
  <si>
    <t>Transferencias 4/</t>
  </si>
  <si>
    <t>Otros 5/</t>
  </si>
  <si>
    <t>TamaÃ±o del hogar</t>
  </si>
  <si>
    <t>5,0</t>
  </si>
  <si>
    <t>5,1</t>
  </si>
  <si>
    <t>6,2</t>
  </si>
  <si>
    <t>4,5</t>
  </si>
  <si>
    <t>Costa urbana 6/</t>
  </si>
  <si>
    <t>5,2</t>
  </si>
  <si>
    <t>5,3</t>
  </si>
  <si>
    <t>4,6</t>
  </si>
  <si>
    <t>4,8</t>
  </si>
  <si>
    <t>7,7</t>
  </si>
  <si>
    <t>Sierra urbana</t>
  </si>
  <si>
    <t>4,9</t>
  </si>
  <si>
    <t>5,6</t>
  </si>
  <si>
    <t>6,5</t>
  </si>
  <si>
    <t>4,7</t>
  </si>
  <si>
    <t>5,7</t>
  </si>
  <si>
    <t>1/ Se refiere a la valorizaciÃ³n del autoconsumo y autosuministro.</t>
  </si>
  <si>
    <t>2/ Incluye el pago monetario y valorizaciÃ³n del pago por transporte, refrigerio, uniforme, etc.</t>
  </si>
  <si>
    <t>3/ Incluye intereses, dividendos, rentas a la propiedad (maquinarias y bienes inmuebles).</t>
  </si>
  <si>
    <t>4/ Corresponde a ingresos por pensiones (jubilaciÃ³n, cesantÃ­a, AFP, alimentos, divorcio); instituciones sin</t>
  </si>
  <si>
    <t>fines de lucro (vaso de leche y otros); remesas monetarias del extranjero.</t>
  </si>
  <si>
    <t>5/ Incluye indemnizaciones, herencias, juegos de azar, remesas de no miembros del hogar, gasto en IPSS, seguros.</t>
  </si>
  <si>
    <t>6/ No incluye a Lima Metropolitana.</t>
  </si>
  <si>
    <t>PEA: PoblaciÃ³n EconÃ³micamente Activa.</t>
  </si>
  <si>
    <t>Fuente: INSTITUTO CUANTO - "Encuesta Nacional sobre MediciÃ³n de Niveles de Vida (ENNIV), 1997".</t>
  </si>
  <si>
    <t>Ãšltima actualizaciÃ³n 24/01/00</t>
  </si>
  <si>
    <t>Por CARLOS MEJIA</t>
  </si>
  <si>
    <t xml:space="preserve">  </t>
  </si>
  <si>
    <t>Remuneraciones p. C.</t>
  </si>
  <si>
    <t>Porcentaje ingresos de capital/remuneraciones</t>
  </si>
  <si>
    <t>Sobre utilidades netas es un poco más de la mitad</t>
  </si>
  <si>
    <t>Porcentaje de utilidades sin impuestos ni depreciación repartidas</t>
  </si>
  <si>
    <t>Autoconsumo</t>
  </si>
  <si>
    <t>Numero de hogares</t>
  </si>
  <si>
    <t>Total capital</t>
  </si>
  <si>
    <t>Total remuneraciones</t>
  </si>
  <si>
    <t>1.  Corrientes</t>
  </si>
  <si>
    <t>a.  Remuneraciones</t>
  </si>
  <si>
    <t>b.  Bienes y servicios</t>
  </si>
  <si>
    <t>c.  Transferencias</t>
  </si>
  <si>
    <t>Empresas estatales no financieras</t>
  </si>
  <si>
    <t>-</t>
  </si>
  <si>
    <t>Gobiernos locales, ONP y otros</t>
  </si>
  <si>
    <t>Pensiones</t>
  </si>
  <si>
    <t>2.  Gastos de capital</t>
  </si>
  <si>
    <t>a.  Formación Bruta de capital</t>
  </si>
  <si>
    <t>b.  Transferencias</t>
  </si>
  <si>
    <t>c.  Otros</t>
  </si>
  <si>
    <t>II.  Intereses</t>
  </si>
  <si>
    <t>1. Deuda interna</t>
  </si>
  <si>
    <t>2. Deuda externa</t>
  </si>
  <si>
    <t>Fuente:   Banco Central de Reserva del Perú.</t>
  </si>
  <si>
    <t>D.  EMPRESAS ESTATALES NO FINANCIERAS</t>
  </si>
  <si>
    <t>O p e r a c i o n e s</t>
  </si>
  <si>
    <t>MATRIZ DE CONTABILIDAD SOCIAL</t>
  </si>
  <si>
    <t>Basada en Lofgren, Hans y otros. "A estandar computable general equilibrium (CGE) model in GAMS". IFPRI. Washington. MAyo 2001.</t>
  </si>
  <si>
    <t>Ingreso factorial de hogares</t>
  </si>
  <si>
    <t>Ingreso factorial de empresas</t>
  </si>
  <si>
    <t>Impuestos a los factores</t>
  </si>
  <si>
    <t>Gasto de factores</t>
  </si>
  <si>
    <t>Gasto de hogares</t>
  </si>
  <si>
    <t>Bienes usados para autoconsumo</t>
  </si>
  <si>
    <t>Consumo de mercado</t>
  </si>
  <si>
    <t>Transferencias entre hogares</t>
  </si>
  <si>
    <t>Impuestos a los ingresos y al patrimonio</t>
  </si>
  <si>
    <t>Transferencias al gobierno</t>
  </si>
  <si>
    <t>Ahorro de los hogares</t>
  </si>
  <si>
    <t>Utilidades repartidas a hogares</t>
  </si>
  <si>
    <t>Transferencias al gobierno o utilidades del gobierno</t>
  </si>
  <si>
    <t>Balanza en cuenta corriente (datos BCRP)</t>
  </si>
  <si>
    <t>I.    Ingresos Corrientes</t>
  </si>
  <si>
    <t xml:space="preserve">      1.  Petroperú</t>
  </si>
  <si>
    <t xml:space="preserve">      2.  Electroperú</t>
  </si>
  <si>
    <t xml:space="preserve">      3.  Regionales de Electricidad</t>
  </si>
  <si>
    <t>...</t>
  </si>
  <si>
    <t xml:space="preserve">      4.  Sedapal</t>
  </si>
  <si>
    <t xml:space="preserve">      5.  Centromin</t>
  </si>
  <si>
    <t xml:space="preserve">      6.  Otros</t>
  </si>
  <si>
    <t>II.  Gastos corrientes no financieros</t>
  </si>
  <si>
    <t>III. Gastos de capital</t>
  </si>
  <si>
    <t>IV. Otros</t>
  </si>
  <si>
    <t>V.  Resultado Primario</t>
  </si>
  <si>
    <t>VI.  Intereses</t>
  </si>
  <si>
    <t>VII. Resultado Económico</t>
  </si>
  <si>
    <t>22.16  OPERACIONES DEL RESTO DEL GOBIERNO CENTRAL CONSOLIDADO, 1991 - 2000</t>
  </si>
  <si>
    <t xml:space="preserve">      1.  Contribuciones a ESSALUD y ONP 1/</t>
  </si>
  <si>
    <t xml:space="preserve">      2.  Otros</t>
  </si>
  <si>
    <t xml:space="preserve">      1.  Corrientes</t>
  </si>
  <si>
    <t xml:space="preserve">      2.  Capital</t>
  </si>
  <si>
    <t>III. Otros</t>
  </si>
  <si>
    <t>IV.  Resultado Primario</t>
  </si>
  <si>
    <t>VI. Resultado Económico</t>
  </si>
  <si>
    <t xml:space="preserve">      1.  Seguro Social  de Salud (ESSALUD)</t>
  </si>
  <si>
    <t xml:space="preserve">      2.  Oficina de Normalización Previsional</t>
  </si>
  <si>
    <t xml:space="preserve">      3.  Fondo Consolidado de Reservas</t>
  </si>
  <si>
    <t xml:space="preserve">      4.  Fondo Nacional de Ahorro Público</t>
  </si>
  <si>
    <t xml:space="preserve">      5.  Otros</t>
  </si>
  <si>
    <t xml:space="preserve">Nota: Comprende: ESSALUD, Oficina de Normalización Previsional (ONP), Sociedades de Beneficencia Pública , Fondo Consolidado de </t>
  </si>
  <si>
    <t xml:space="preserve">      Reservas (FCR), el Fondo Nacional de Ahorro Público (FONAHPU), organismos reguladores y oficinas registrales.</t>
  </si>
  <si>
    <t>1/  ONP recibe los ingresos correspondientes a la recaudación del Sistema Nacional de Pensiones (SNP).</t>
  </si>
  <si>
    <t xml:space="preserve">     Beneficencia Pública, Fondo Consolidado de Reservas y el Fondo Nacional de Ahorro Público(FONAHPU). </t>
  </si>
  <si>
    <t>22.17  OPERACIONES DE GOBIERNOS LOCALES, 1991 - 2000</t>
  </si>
  <si>
    <t>II.   Gastos no financieros</t>
  </si>
  <si>
    <t xml:space="preserve">      a.  Gastos corrientes</t>
  </si>
  <si>
    <t xml:space="preserve">      b.  Gastos de capital</t>
  </si>
  <si>
    <t xml:space="preserve">III.  Otros  </t>
  </si>
  <si>
    <t>Coincidencias</t>
  </si>
  <si>
    <t xml:space="preserve"> Ingresos corrientes</t>
  </si>
  <si>
    <t>Diferencia</t>
  </si>
  <si>
    <t>Resultado económico</t>
  </si>
  <si>
    <t>A. BALANZA DE PAGOS</t>
  </si>
  <si>
    <t xml:space="preserve">        (Millones de US$ dólares)</t>
  </si>
  <si>
    <t>C o n c e p t o</t>
  </si>
  <si>
    <t>1993</t>
  </si>
  <si>
    <t>1994</t>
  </si>
  <si>
    <t>1995</t>
  </si>
  <si>
    <t>2000</t>
  </si>
  <si>
    <t>I.  Balanza en Cuenta Corriente</t>
  </si>
  <si>
    <t xml:space="preserve">        1. Bienes</t>
  </si>
  <si>
    <t xml:space="preserve">              A. Exportaciones FOB</t>
  </si>
  <si>
    <t xml:space="preserve">              B. Importaciones FOB</t>
  </si>
  <si>
    <t xml:space="preserve">        2. Servicios</t>
  </si>
  <si>
    <t xml:space="preserve">        3. Renta de Factores</t>
  </si>
  <si>
    <t xml:space="preserve">             A. Sector  Privado</t>
  </si>
  <si>
    <t xml:space="preserve">             B.  Sector  Público  1/</t>
  </si>
  <si>
    <t xml:space="preserve">        4. Transferencias Corrientes</t>
  </si>
  <si>
    <t>II.  Cuenta Financiera</t>
  </si>
  <si>
    <t xml:space="preserve">        1.  Sector Privado</t>
  </si>
  <si>
    <t xml:space="preserve">        2.  Sector Público</t>
  </si>
  <si>
    <t xml:space="preserve">        3.  Capitales de Corto Plazo</t>
  </si>
  <si>
    <t>III. Financiamiento Excepcional</t>
  </si>
  <si>
    <t xml:space="preserve">       1.  Brady</t>
  </si>
  <si>
    <t xml:space="preserve">       2.  Refinanciación</t>
  </si>
  <si>
    <t xml:space="preserve">       3.  Condonación de Deuda Externa</t>
  </si>
  <si>
    <t xml:space="preserve">       4.  Flujo de Atrasos Netos</t>
  </si>
  <si>
    <t>IV. Flujo de Reservas Netas del BCRP (1-2)</t>
  </si>
  <si>
    <t xml:space="preserve">     (Incremento con signo negativo)</t>
  </si>
  <si>
    <t xml:space="preserve">       1.  Variación del Saldo de RIN</t>
  </si>
  <si>
    <t xml:space="preserve">       2.  Efecto Variación y Monetización de Oro</t>
  </si>
  <si>
    <t>Porcentaje de utilidades distribuidas después de impuestos. Obtenido a partir de la proporción que representan los dividendos de las remuneraciones de los hogares en la encuesta multiplicado por la razón entre remuneraciones y utilidades brutas en cuentas nacionales. No representativo porque las remuneraciones de la tabla insumo-producto no consideran los ingresos de independientes como remuneraciones completamente.</t>
  </si>
  <si>
    <t>Comercialización</t>
  </si>
  <si>
    <t>Pago de intereses gobierno</t>
  </si>
  <si>
    <t>Balanza</t>
  </si>
  <si>
    <t>V.  Errores y Omisiones Netos</t>
  </si>
  <si>
    <t xml:space="preserve">Nota:  </t>
  </si>
  <si>
    <t>Inversión Directa por Privatización</t>
  </si>
  <si>
    <t>Variación de existencias</t>
  </si>
  <si>
    <t>Inversión Directa sin Privatización</t>
  </si>
  <si>
    <t>1/ En el III trimestre del 2000, los intereses no incluyen los correspondientes a los Bonos Brady, que fueron diferidos de setiembre a octubre</t>
  </si>
  <si>
    <t xml:space="preserve">    del 2000, por el litigio judicial con Elliot Asssociates.</t>
  </si>
  <si>
    <t>Fuente: Banco Central de Reserva del Perú</t>
  </si>
  <si>
    <t xml:space="preserve">I.  Resultado Primario </t>
  </si>
  <si>
    <t xml:space="preserve">     1.  Resultado Primario del</t>
  </si>
  <si>
    <t xml:space="preserve">          Gobierno Central</t>
  </si>
  <si>
    <t xml:space="preserve">          a.  Ingresos corrientes</t>
  </si>
  <si>
    <t xml:space="preserve">               Ingresos tributarios</t>
  </si>
  <si>
    <t xml:space="preserve">               No tributarios</t>
  </si>
  <si>
    <t xml:space="preserve">         b.  Gasto no financiero</t>
  </si>
  <si>
    <t xml:space="preserve">              Corriente</t>
  </si>
  <si>
    <t xml:space="preserve">              Capital</t>
  </si>
  <si>
    <t xml:space="preserve">         c.  Otros  1/</t>
  </si>
  <si>
    <t xml:space="preserve">     2.  Resultado Primario del Resto</t>
  </si>
  <si>
    <t xml:space="preserve">          a. Resto  del gobierno central</t>
  </si>
  <si>
    <t xml:space="preserve">          b. Gobiernos locales</t>
  </si>
  <si>
    <t xml:space="preserve">          c. Empresas Estatales</t>
  </si>
  <si>
    <t xml:space="preserve"> II. Intereses </t>
  </si>
  <si>
    <t xml:space="preserve">     a. Deuda externa</t>
  </si>
  <si>
    <t xml:space="preserve">     b. Deuda interna</t>
  </si>
  <si>
    <t>III. Resultado Económico</t>
  </si>
  <si>
    <t>IV. Financiamiento neto</t>
  </si>
  <si>
    <t xml:space="preserve">      a. Financiamiento Externo Neto</t>
  </si>
  <si>
    <t xml:space="preserve">          (Millones de US$)</t>
  </si>
  <si>
    <t xml:space="preserve">              Desembolsos 2/</t>
  </si>
  <si>
    <t xml:space="preserve">              Amortización 2/</t>
  </si>
  <si>
    <t xml:space="preserve">              Otros 2/</t>
  </si>
  <si>
    <t xml:space="preserve">     b. Financiamiento Interno Neto</t>
  </si>
  <si>
    <t xml:space="preserve">     c. Ingresos de privatización</t>
  </si>
  <si>
    <t>Nota: El Sector Público no Financiero incluye las Operaciones del Gobierno General y las Operaciones de Empresas Estatales.</t>
  </si>
  <si>
    <t>1/  Deduce el pago al American International Group  y al Convenio Perú-Alemania.</t>
  </si>
  <si>
    <t>2/  Incluye financiamiento excepcional y financiamiento de corto plazo.</t>
  </si>
  <si>
    <t>22.4  OPERACIONES DEL GOBIERNO GENERAL, 1991 - 2000</t>
  </si>
  <si>
    <t>Nota: Comprende Operaciones del Gobierno Central Consolidado y Operaciones de Gobiernos Locales</t>
  </si>
  <si>
    <t>1/   Deduce el pago al American International Group  y al Convenio Perú-Alemania.</t>
  </si>
  <si>
    <t>19.4   OFERTA Y DEMANDA GLOBAL, 1991 - 2000</t>
  </si>
  <si>
    <t xml:space="preserve">          Valores a Precios Constantes de 1994</t>
  </si>
  <si>
    <t xml:space="preserve">           (Millones de nuevos soles)</t>
  </si>
  <si>
    <t xml:space="preserve">22.38  PRESUPUESTO DEL GASTO DEL SECTOR PUBLICO PARA EL PROGRAMA DE </t>
  </si>
  <si>
    <t xml:space="preserve">          REDUCCION DE LA POBREZA, 1993 - 2000</t>
  </si>
  <si>
    <t xml:space="preserve">          (Millones de nuevos soles)</t>
  </si>
  <si>
    <t>Entidad</t>
  </si>
  <si>
    <t>Foncodes</t>
  </si>
  <si>
    <t xml:space="preserve">  Apoyo social</t>
  </si>
  <si>
    <t xml:space="preserve">  Generación de empleo</t>
  </si>
  <si>
    <t xml:space="preserve">  Fortalecimiento institucional</t>
  </si>
  <si>
    <t xml:space="preserve">  Fortalecimiento de programas sociales</t>
  </si>
  <si>
    <t xml:space="preserve">  Inversión social/desarrollo productivo</t>
  </si>
  <si>
    <t>Ministerio de agricultura</t>
  </si>
  <si>
    <t xml:space="preserve">  Apoyo al agro en zona de emergencia</t>
  </si>
  <si>
    <t xml:space="preserve">  Pronamachcs</t>
  </si>
  <si>
    <t xml:space="preserve">  Titulación de tierras</t>
  </si>
  <si>
    <t>Pronaa</t>
  </si>
  <si>
    <t xml:space="preserve">  Comedores a nivel nacional</t>
  </si>
  <si>
    <t xml:space="preserve">  Proyectos de asistencia alimentaria</t>
  </si>
  <si>
    <t xml:space="preserve">  Ayuda a desplazados</t>
  </si>
  <si>
    <t>Programa de apoyo a la repoblación</t>
  </si>
  <si>
    <t>en zonas de emergencia - PAR</t>
  </si>
  <si>
    <t>…</t>
  </si>
  <si>
    <t>Presidencia consejo de ministros</t>
  </si>
  <si>
    <t xml:space="preserve">  Acción cívica Fuerzas Armadas</t>
  </si>
  <si>
    <t>Ministerio de economía y finanzas</t>
  </si>
  <si>
    <t xml:space="preserve">  Vaso de leche (gobiernos locales)</t>
  </si>
  <si>
    <t xml:space="preserve">  Apoyo social y comunitaria financiado con PL-480</t>
  </si>
  <si>
    <t>Ministerio de educación</t>
  </si>
  <si>
    <t xml:space="preserve">  Alimentación escolar / textos</t>
  </si>
  <si>
    <t xml:space="preserve">  Mejora de la educación primaria</t>
  </si>
  <si>
    <t xml:space="preserve">  Mejora de la educación de otros niveles</t>
  </si>
  <si>
    <t>Infes</t>
  </si>
  <si>
    <t xml:space="preserve">  Infraestructura educativa</t>
  </si>
  <si>
    <t>Ministerio de energía y minas</t>
  </si>
  <si>
    <t xml:space="preserve">  Electrificación rural ampliación frontera eléctrica</t>
  </si>
  <si>
    <t>Ministerio promoción de la mujer 1/</t>
  </si>
  <si>
    <t xml:space="preserve">  Alfabetización / desarrollo productivo</t>
  </si>
  <si>
    <t>Ministerio de la presidencia</t>
  </si>
  <si>
    <t xml:space="preserve">  Programa nacional de agua potable y alcantarillado</t>
  </si>
  <si>
    <t xml:space="preserve">  Lucha contra la pobreza en zonas marginales de Lima</t>
  </si>
  <si>
    <t xml:space="preserve">  Inversión focalizada reducción extrema pobreza</t>
  </si>
  <si>
    <t>Cooperación popular</t>
  </si>
  <si>
    <t xml:space="preserve">  Proyectos multisectoriales</t>
  </si>
  <si>
    <t>Ministerio de salud</t>
  </si>
  <si>
    <t xml:space="preserve">  Lucha contra epidemias</t>
  </si>
  <si>
    <t xml:space="preserve">  Planificación familiar</t>
  </si>
  <si>
    <t xml:space="preserve">  Seguro escolar/materno infantil (programa de </t>
  </si>
  <si>
    <t xml:space="preserve">  apoyo reforma sector salud PAR - SALUD)</t>
  </si>
  <si>
    <t xml:space="preserve"> Prog. incremento capac. Aten. básic. salud - PRICRABS</t>
  </si>
  <si>
    <t>Ministerio de transportes y comunicaciones</t>
  </si>
  <si>
    <t xml:space="preserve">  Caminos rurales</t>
  </si>
  <si>
    <t>Mejora de la calidad de los servicios sociales</t>
  </si>
  <si>
    <t>Inade - MEF</t>
  </si>
  <si>
    <t xml:space="preserve">  Programa de emergencia e inversión social (PL-480)</t>
  </si>
  <si>
    <t xml:space="preserve">  ayuda a desplazados (PL-480) MEF</t>
  </si>
  <si>
    <t>Cofopri (formalización de la propiedad informal)</t>
  </si>
  <si>
    <t>Gasto social básico</t>
  </si>
  <si>
    <t xml:space="preserve">  Educación</t>
  </si>
  <si>
    <t xml:space="preserve">  Salud</t>
  </si>
  <si>
    <t xml:space="preserve">  Instituto nacional de la salud</t>
  </si>
  <si>
    <t xml:space="preserve">  Otros</t>
  </si>
  <si>
    <t>1/ en 1997 se crea el Ministerio de Promoción de la Mujer</t>
  </si>
  <si>
    <t>Fuente: Comisión de Presupuesto del Congreso de la República</t>
  </si>
  <si>
    <t>Porcentaje del rubro de transferencias a gobiernos locales, ONP y otros que es a empresas y no gobierno en sí mismo</t>
  </si>
  <si>
    <t>Monto recibido por hogares como pensiones</t>
  </si>
  <si>
    <t>Monto recibido por hogares por programas sociales</t>
  </si>
  <si>
    <t>Datos de empleo</t>
  </si>
  <si>
    <t>Producto</t>
  </si>
  <si>
    <t>Bruto</t>
  </si>
  <si>
    <t>Interno</t>
  </si>
  <si>
    <t>Importa-</t>
  </si>
  <si>
    <t>ciones</t>
  </si>
  <si>
    <t/>
  </si>
  <si>
    <t>Oferta y</t>
  </si>
  <si>
    <t>Demanda</t>
  </si>
  <si>
    <t>Global</t>
  </si>
  <si>
    <t>Consumo</t>
  </si>
  <si>
    <t>de</t>
  </si>
  <si>
    <t>( 1 )</t>
  </si>
  <si>
    <t>( 2 )</t>
  </si>
  <si>
    <t>Gasto de</t>
  </si>
  <si>
    <t>Final</t>
  </si>
  <si>
    <t>( 3 = 1 + 2 )</t>
  </si>
  <si>
    <t>Formación</t>
  </si>
  <si>
    <t>Bruta de</t>
  </si>
  <si>
    <t>Capital</t>
  </si>
  <si>
    <t>Exporta-</t>
  </si>
  <si>
    <t>Export</t>
  </si>
  <si>
    <t>Import</t>
  </si>
  <si>
    <t>Tipo de cambio real implicito (sin usar inflación de USA)</t>
  </si>
  <si>
    <t>Flujo financiero sector público total</t>
  </si>
  <si>
    <t>TC promedio</t>
  </si>
  <si>
    <t>TC</t>
  </si>
  <si>
    <t xml:space="preserve">Dato de balanza de pagos </t>
  </si>
  <si>
    <t>Componente</t>
  </si>
  <si>
    <t>Millones de Nuevos Soles</t>
  </si>
  <si>
    <t>1 Reservas Internacionales Netas</t>
  </si>
  <si>
    <t xml:space="preserve">  (Millones de US$ Dólares)</t>
  </si>
  <si>
    <t xml:space="preserve">    Activos</t>
  </si>
  <si>
    <t xml:space="preserve">    Pasivos</t>
  </si>
  <si>
    <t>2 Otras Obligaciones Netas</t>
  </si>
  <si>
    <t xml:space="preserve">    con el Exterior 1/</t>
  </si>
  <si>
    <t xml:space="preserve">      Créditos</t>
  </si>
  <si>
    <t xml:space="preserve">      Obligaciones</t>
  </si>
  <si>
    <t>3 Crédito Interno Neto</t>
  </si>
  <si>
    <t xml:space="preserve">    Sector Público 2/</t>
  </si>
  <si>
    <t xml:space="preserve">    Sector Privado</t>
  </si>
  <si>
    <t xml:space="preserve">    Sistema Bancario  3/</t>
  </si>
  <si>
    <t xml:space="preserve">    Otras Cuentas </t>
  </si>
  <si>
    <t>4 Obligaciones Monetarias</t>
  </si>
  <si>
    <t xml:space="preserve">  (1+2+3)</t>
  </si>
  <si>
    <t xml:space="preserve">    Emisión Primaria</t>
  </si>
  <si>
    <t xml:space="preserve">        Circulante</t>
  </si>
  <si>
    <t xml:space="preserve">        Efectivo Depósito  M/N</t>
  </si>
  <si>
    <t xml:space="preserve">    Valores Emitidos</t>
  </si>
  <si>
    <t xml:space="preserve">    Obligaciones en M/E</t>
  </si>
  <si>
    <t>Nota:  A partir de Dic.93, las cuentas monetarias incorporan los ajustes metodológicos del Balance General del BCRP con estructura</t>
  </si>
  <si>
    <t>Costa rural</t>
  </si>
  <si>
    <t>Sierra rural</t>
  </si>
  <si>
    <t>Siera urbana</t>
  </si>
  <si>
    <t>Costa urbana</t>
  </si>
  <si>
    <t>Lima Metropolitana</t>
  </si>
  <si>
    <t>Tamaño del hogar</t>
  </si>
  <si>
    <t>ENNIV 1997</t>
  </si>
  <si>
    <t>Selva urbana</t>
  </si>
  <si>
    <t>Selva rural</t>
  </si>
  <si>
    <t>Ingresos de capital p.c.</t>
  </si>
  <si>
    <t>Urbano</t>
  </si>
  <si>
    <t>Rural</t>
  </si>
  <si>
    <t>monetaria (la cual excluye de los activos y pasivos internacionales los intereses por cobrar y por pagar, respectivamente, y la asignación</t>
  </si>
  <si>
    <t>de los Pesos Andinos de los pasivos internacionales). Desde el 21 de Julio de 1994, las cuentas monetarias del BCRP incluyen Bonos</t>
  </si>
  <si>
    <t>"Capitalización BCRP" por S/.613,7 millones entregados por el Ministerio de Economía y Finanzas (D.S. N¹66-94-EF y R.M.Nº143-94-EF/75).</t>
  </si>
  <si>
    <t xml:space="preserve">A partir de diciembre de 1996, en base a la Nueva Ley General del Sistema Financiero y del Sistema de Seguros y Orgánica de la </t>
  </si>
  <si>
    <t>Superintendencia de Banca y Seguros, el término  banca múltiple es sustituido por el de empresas bancarias.</t>
  </si>
  <si>
    <t>1/ Registra sólo los saldos de las operaciones efectuadas en moneda extranjera.</t>
  </si>
  <si>
    <t>2/ Incluye COFIDE y depósitos por refinanciación de 1983 y 1984.</t>
  </si>
  <si>
    <t>3/ A partir del 31 de enero de 1994, los saldos del crédito al Banco de la Nación y Banca de Fomento en disolución son netos de sus</t>
  </si>
  <si>
    <t>depósitos en el B.C.R.P.</t>
  </si>
  <si>
    <t>Pagos al exterior menos crédito recibido</t>
  </si>
  <si>
    <t>Ingresos por impuestos indirectos</t>
  </si>
  <si>
    <t>Ingresos por impuestos directos</t>
  </si>
  <si>
    <t>Gobierno general</t>
  </si>
  <si>
    <t>Utilidades repartidas al exterior</t>
  </si>
  <si>
    <t>Ingreso factorial al exterior</t>
  </si>
  <si>
    <t>Transferencias del gobierno al exterior</t>
  </si>
  <si>
    <t>Gobierno General</t>
  </si>
  <si>
    <t>*</t>
  </si>
  <si>
    <t>tf1</t>
  </si>
  <si>
    <t>tf2</t>
  </si>
  <si>
    <t>tf3</t>
  </si>
  <si>
    <t>tf4</t>
  </si>
  <si>
    <t>tf5</t>
  </si>
  <si>
    <t>tf6</t>
  </si>
  <si>
    <t>tf7</t>
  </si>
  <si>
    <t>tf8</t>
  </si>
  <si>
    <t>tf9</t>
  </si>
  <si>
    <t>tf10</t>
  </si>
  <si>
    <t>tf11</t>
  </si>
  <si>
    <t>tf12</t>
  </si>
  <si>
    <t>tf13</t>
  </si>
  <si>
    <t>tf14</t>
  </si>
  <si>
    <t>tf15</t>
  </si>
  <si>
    <t>Agropecuaria, caza, silvicultura</t>
  </si>
  <si>
    <t>Construcción</t>
  </si>
  <si>
    <t>Salud</t>
  </si>
  <si>
    <t>Educación</t>
  </si>
  <si>
    <t xml:space="preserve"> </t>
  </si>
  <si>
    <t>Total</t>
  </si>
  <si>
    <t>Hogar rural</t>
  </si>
  <si>
    <t>Hogar urbano con jefe no calificado</t>
  </si>
  <si>
    <t>Hogar urbano con jefe calificado</t>
  </si>
  <si>
    <t>Impuestos</t>
  </si>
  <si>
    <t>Internas</t>
  </si>
  <si>
    <t>Externas</t>
  </si>
  <si>
    <t>Transf. Recibidas</t>
  </si>
  <si>
    <t>Transferencias dadas</t>
  </si>
  <si>
    <t>Estructuras porcentuales</t>
  </si>
  <si>
    <t>Porcentajes</t>
  </si>
  <si>
    <t>Parámetro</t>
  </si>
  <si>
    <t>Significado</t>
  </si>
  <si>
    <t>Porcentaje de renta de factores del exterior que es remuneraciones</t>
  </si>
  <si>
    <t>Dividendos</t>
  </si>
  <si>
    <t>Porcentaje</t>
  </si>
  <si>
    <t>Ingreso laboral  total</t>
  </si>
  <si>
    <t>Pensiones de jubilación</t>
  </si>
  <si>
    <t>Fuente: ENNIV 1994</t>
  </si>
  <si>
    <t>Oferta total</t>
  </si>
  <si>
    <t>AUTOCONSUMO</t>
  </si>
  <si>
    <t>Gasto total</t>
  </si>
  <si>
    <t>Ingreso total</t>
  </si>
  <si>
    <t>Programas sociales</t>
  </si>
  <si>
    <t>Porcentaje dividendos/remuneraciones</t>
  </si>
  <si>
    <t>Porcentaje de pago deuda interna a hogares</t>
  </si>
  <si>
    <t>Hogar urbano calificado</t>
  </si>
  <si>
    <t>Hogar urbano no calificado</t>
  </si>
  <si>
    <t>Porcentajes pago de deuda interna</t>
  </si>
  <si>
    <t>Porcentaje de transferencias corrientes externas que van a hogares</t>
  </si>
  <si>
    <t>FONAVI</t>
  </si>
  <si>
    <t>3% a cargo del trabajdor y 6% del empleador</t>
  </si>
  <si>
    <t>Demanda total</t>
  </si>
  <si>
    <t>Exportaciones</t>
  </si>
  <si>
    <t>Bienes importados</t>
  </si>
  <si>
    <t>Inversión</t>
  </si>
  <si>
    <t>Derechos de importación</t>
  </si>
  <si>
    <t>Tipo de trabajador</t>
  </si>
  <si>
    <t>Extracción de minerales, extracción de petróleo</t>
  </si>
  <si>
    <t>Pesca, preservación, harina y aceite de pescado</t>
  </si>
  <si>
    <t>Coincide casi igual</t>
  </si>
  <si>
    <t>Suma de la cuenta financiera, el financiamiento excepcional, el incremento neto de reservas del Banco Central y los errores y omisiones.</t>
  </si>
  <si>
    <t>Rama de actividad</t>
  </si>
  <si>
    <t>Ingreso laboral anual total por tipo de hogar</t>
  </si>
  <si>
    <t>Comercio</t>
  </si>
  <si>
    <t>Transportes y comunicaciones</t>
  </si>
  <si>
    <t>El gobierno general no considera empresas públicas. Esto es lo que el INEI considera en cuentas nacionales</t>
  </si>
  <si>
    <t>Tipo de hogar</t>
  </si>
  <si>
    <t>Impuestos directos pagados por los hogares</t>
  </si>
  <si>
    <t>Dividendos y utilidades distribuidas a hogares</t>
  </si>
  <si>
    <t>Comprobar</t>
  </si>
  <si>
    <t>Columnas</t>
  </si>
  <si>
    <t>(en nuevos soles de junio de 1994)</t>
  </si>
  <si>
    <t>Ingreso asalariado</t>
  </si>
  <si>
    <t>Ingreso independiente</t>
  </si>
  <si>
    <t>Proporción de ingreso independiente</t>
  </si>
  <si>
    <t>Remuneraciones</t>
  </si>
  <si>
    <t>Asalariados</t>
  </si>
  <si>
    <t>Independientes</t>
  </si>
  <si>
    <t>Trabajador familiar no remunerado</t>
  </si>
  <si>
    <t>Trabajador del hogar</t>
  </si>
  <si>
    <t>Asalariado privado</t>
  </si>
  <si>
    <t>Asalariado público</t>
  </si>
  <si>
    <t>Independiente</t>
  </si>
  <si>
    <t>Ratio de ingresos laborales de independientes entre asalariados según la encuesta</t>
  </si>
  <si>
    <t>Ingresos total</t>
  </si>
  <si>
    <t>** Considera el ingresos de los mayores de 14 años.</t>
  </si>
  <si>
    <t>*   Algunos jefes de hogar no están ocupados o no han reportado rama de actividad</t>
  </si>
  <si>
    <t>Bienes</t>
  </si>
  <si>
    <t>Impuestos indirectos</t>
  </si>
  <si>
    <t>Impuestos directos</t>
  </si>
  <si>
    <t xml:space="preserve">Comercialización </t>
  </si>
  <si>
    <t>Bienes domésticos</t>
  </si>
  <si>
    <t>(INEI 2,000)</t>
  </si>
  <si>
    <t>Matriz de pagos a hogares</t>
  </si>
  <si>
    <t>Notas:</t>
  </si>
  <si>
    <t>Los rubros de demanda intermedia y demanda final incluyen bienes importados, y están valorizados a precios al comprador (incluyendo márgenes de comercialización e impuestos indirectos)</t>
  </si>
  <si>
    <t>El valor total de la producción de cada rama se divide en ventas y autoconsumo de hogares. Los valores de cada celda se trasladan como una matriz diagonal y se les resta el valor de autoconsumo total por rama de los hogares para obtener la matriz de ventas (que es diagonal)</t>
  </si>
  <si>
    <t>Se sigue la metodología de Thomas, Marcelle y Romeo Bautista (1999) A 1991 social accounting matrix (SAM) for Zimbabwe. TMD Discussion Paper No. 36</t>
  </si>
  <si>
    <t>MATRIZ DE VENTAS TOTAL</t>
  </si>
  <si>
    <t>Instituciones</t>
  </si>
  <si>
    <t>Hogares</t>
  </si>
  <si>
    <t>Empresas</t>
  </si>
  <si>
    <t>Gobierno</t>
  </si>
  <si>
    <t>Gastos</t>
  </si>
  <si>
    <t>Totales</t>
  </si>
  <si>
    <t>Ingresos</t>
  </si>
  <si>
    <t>Factores de producción</t>
  </si>
  <si>
    <t>Actividades productivas</t>
  </si>
  <si>
    <t>Cuenta combinada del resto del mundo</t>
  </si>
  <si>
    <t>Cuenta de capitales combinada</t>
  </si>
  <si>
    <t>Importaciones</t>
  </si>
  <si>
    <t>Porcentaje del PBI</t>
  </si>
  <si>
    <t xml:space="preserve">1994 </t>
  </si>
  <si>
    <t xml:space="preserve">2000 </t>
  </si>
  <si>
    <t xml:space="preserve">2002 </t>
  </si>
  <si>
    <t xml:space="preserve">1998 </t>
  </si>
  <si>
    <t xml:space="preserve">1999 </t>
  </si>
  <si>
    <t>2001</t>
  </si>
  <si>
    <t>2003</t>
  </si>
  <si>
    <t xml:space="preserve">             1/</t>
  </si>
  <si>
    <t>1998</t>
  </si>
  <si>
    <t>1999</t>
  </si>
  <si>
    <t>2001 /1</t>
  </si>
  <si>
    <t>2003 /1</t>
  </si>
  <si>
    <t>2002 /1</t>
  </si>
  <si>
    <t>23.2  BALANZA DE PAGOS, 1990 - 2003</t>
  </si>
  <si>
    <t xml:space="preserve">OPERACIONES DEL GOBIERNO CENTRAL </t>
  </si>
  <si>
    <t xml:space="preserve">1998  </t>
  </si>
  <si>
    <t xml:space="preserve">1999  </t>
  </si>
  <si>
    <t xml:space="preserve">2001 </t>
  </si>
  <si>
    <t xml:space="preserve">2003  </t>
  </si>
  <si>
    <t xml:space="preserve">              (Millones de US$) (a-b+c)</t>
  </si>
  <si>
    <t xml:space="preserve">             a. Desembolsos</t>
  </si>
  <si>
    <t xml:space="preserve">             b. Amortización</t>
  </si>
  <si>
    <t xml:space="preserve">             c. Otros </t>
  </si>
  <si>
    <t>1/  Preliminar.</t>
  </si>
  <si>
    <t>2/  Deduce el pago al American International Group y al Convenio Perú-Alemania.</t>
  </si>
  <si>
    <t>Fuente:</t>
  </si>
  <si>
    <t xml:space="preserve">MEF, Banco de la Nación, BCRP, SUNAT, Empresa Nacional de Comercialización de Insumos S.A. (ENCI), Empresa Comercializadora de Alimentos S.A. (ECASA) y Empresa Petróleos del Perú </t>
  </si>
  <si>
    <t>S.A. (Petroperú).</t>
  </si>
  <si>
    <t>Elaboración:    Subgerencia del Sector Público.</t>
  </si>
  <si>
    <t>2001/1</t>
  </si>
  <si>
    <t>2003/2</t>
  </si>
  <si>
    <t>2002/1</t>
  </si>
  <si>
    <t>1/ Preliminar.</t>
  </si>
  <si>
    <t>(Falta )</t>
  </si>
  <si>
    <t>21.2  CUENTAS MONETARIAS DEL BANCO CENTRAL DE RESERVA, 1990- 2003</t>
  </si>
  <si>
    <t>2003/1</t>
  </si>
  <si>
    <t>2001/2</t>
  </si>
  <si>
    <t>2002/2</t>
  </si>
  <si>
    <t>-.-</t>
  </si>
  <si>
    <t>n.d.</t>
  </si>
  <si>
    <t>ANEXO 57</t>
  </si>
  <si>
    <t xml:space="preserve">GASTOS DEL GOBIERNO CENTRAL      </t>
  </si>
  <si>
    <t>1996</t>
  </si>
  <si>
    <t>1997</t>
  </si>
  <si>
    <t xml:space="preserve">           1/</t>
  </si>
  <si>
    <t xml:space="preserve">  I.  GASTOS NO FINANCIEROS</t>
  </si>
  <si>
    <t xml:space="preserve">       1.  Corrientes</t>
  </si>
  <si>
    <t xml:space="preserve">            a.  Remuneraciones</t>
  </si>
  <si>
    <t xml:space="preserve">            b.  Bienes y servicios</t>
  </si>
  <si>
    <t xml:space="preserve">            c.  Transferencias</t>
  </si>
  <si>
    <t xml:space="preserve">                 - Pensiones</t>
  </si>
  <si>
    <t xml:space="preserve">                 - A ONP - Fonahpu</t>
  </si>
  <si>
    <t xml:space="preserve">                 - Al Fondo de Compensación Municipal</t>
  </si>
  <si>
    <t xml:space="preserve">                 - Canon</t>
  </si>
  <si>
    <t xml:space="preserve">                 - Otros</t>
  </si>
  <si>
    <t xml:space="preserve">       2.  Gastos de capital</t>
  </si>
  <si>
    <t xml:space="preserve">            a.  Formación bruta de capital</t>
  </si>
  <si>
    <t xml:space="preserve">            b.  Otros</t>
  </si>
  <si>
    <t xml:space="preserve"> II.  INTERESES</t>
  </si>
  <si>
    <t xml:space="preserve">           1. Deuda interna</t>
  </si>
  <si>
    <t xml:space="preserve">           2. Deuda externa</t>
  </si>
  <si>
    <t>III. TOTAL (I+II)</t>
  </si>
  <si>
    <t>Urbano no calificado Asalariado</t>
  </si>
  <si>
    <t xml:space="preserve">Urbano no calificado Independiente </t>
  </si>
  <si>
    <t>Urbano calificado Asalariado</t>
  </si>
  <si>
    <t xml:space="preserve">Urbano calificado Independiente </t>
  </si>
  <si>
    <t>Productos textiles, prendas de vestir, cuero y artículos de cuero, calzado</t>
  </si>
  <si>
    <t>rama</t>
  </si>
  <si>
    <t>fonavi</t>
  </si>
  <si>
    <t>Maquinaria y equipo, material de transporte, muebles de madera y metal, caucho y plástico y otros manufacturados</t>
  </si>
  <si>
    <t>PES</t>
  </si>
  <si>
    <t>AGRO</t>
  </si>
  <si>
    <t>MINPET</t>
  </si>
  <si>
    <t>TEXVES</t>
  </si>
  <si>
    <t>MAQMUE</t>
  </si>
  <si>
    <t>BEMOL</t>
  </si>
  <si>
    <t>QUIMPA</t>
  </si>
  <si>
    <t>CONS</t>
  </si>
  <si>
    <t>COMER</t>
  </si>
  <si>
    <t>TRANCO</t>
  </si>
  <si>
    <t>SAL</t>
  </si>
  <si>
    <t>EDU</t>
  </si>
  <si>
    <t>SERGU</t>
  </si>
  <si>
    <t>SERME</t>
  </si>
  <si>
    <t>RESAL</t>
  </si>
  <si>
    <t>Hogar costa urbana</t>
  </si>
  <si>
    <t>Hogar costa rural</t>
  </si>
  <si>
    <t>Hogar sierra rural</t>
  </si>
  <si>
    <t>Hogar selva urbana</t>
  </si>
  <si>
    <t>Hogar selva rural</t>
  </si>
  <si>
    <t>Hogar Lima metropolitana</t>
  </si>
  <si>
    <t>Hogar sierra urbana</t>
  </si>
  <si>
    <t>Fuente: ENAHO 2003</t>
  </si>
  <si>
    <t>HCU</t>
  </si>
  <si>
    <t>HCR</t>
  </si>
  <si>
    <t>HSU</t>
  </si>
  <si>
    <t>HSR</t>
  </si>
  <si>
    <t>HLM</t>
  </si>
  <si>
    <t>UNCA</t>
  </si>
  <si>
    <t>UNCI</t>
  </si>
  <si>
    <t>UCA</t>
  </si>
  <si>
    <t>UCI</t>
  </si>
  <si>
    <t>RNC</t>
  </si>
  <si>
    <t>RC</t>
  </si>
  <si>
    <t>NOMBRE</t>
  </si>
  <si>
    <t>PRESUP. APERTURA ANUAL</t>
  </si>
  <si>
    <t>CALENDARIO ACUMULADO</t>
  </si>
  <si>
    <t>EJECUCIÓN  (DEVENGADO)</t>
  </si>
  <si>
    <t>Variación %</t>
  </si>
  <si>
    <t>FUNCIONES</t>
  </si>
  <si>
    <t>----------------------------------------------</t>
  </si>
  <si>
    <t>03:ADMINISTRACION Y PLANEAMIENTO</t>
  </si>
  <si>
    <t>04:AGRARIA</t>
  </si>
  <si>
    <t>05:ASISTENCIA Y PREVISION SOCIAL</t>
  </si>
  <si>
    <t>06:COMUNICACIONES</t>
  </si>
  <si>
    <t>07:DEFENSA Y SEGURIDAD NACIONAL</t>
  </si>
  <si>
    <t>09:EDUCACION Y CULTURA</t>
  </si>
  <si>
    <t>10:ENERGIA Y RECURSOS MINERALES</t>
  </si>
  <si>
    <t>11:INDUSTRIA, COMERCIO Y SERVICIOS</t>
  </si>
  <si>
    <t>02:JUSTICIA</t>
  </si>
  <si>
    <t>01:LEGISLATIVA</t>
  </si>
  <si>
    <t>12:PESCA</t>
  </si>
  <si>
    <t>13:RELACIONES EXTERIORES</t>
  </si>
  <si>
    <t>14:SALUD Y SANEAMIENTO</t>
  </si>
  <si>
    <t>15:TRABAJO</t>
  </si>
  <si>
    <t>16:TRANSPORTE</t>
  </si>
  <si>
    <t>17:VIVIENDA Y DESARROLLO URBANO</t>
  </si>
  <si>
    <t>Transferencias sociales</t>
  </si>
  <si>
    <t>Tipo de cambio nominal</t>
  </si>
  <si>
    <t>Financiamiento de los hogares de deuda interna</t>
  </si>
  <si>
    <t>Porcentaje de transferencias corrientes externas que va al gobierno</t>
  </si>
  <si>
    <t>Porcentaje de otras transferencias del estado que son a empresas</t>
  </si>
  <si>
    <t>Porcentaje de renta de factores secotor publico que es empresa pública</t>
  </si>
  <si>
    <t>utilr</t>
  </si>
  <si>
    <t>tranf</t>
  </si>
  <si>
    <t>reme</t>
  </si>
  <si>
    <t>ipen</t>
  </si>
  <si>
    <t>itr</t>
  </si>
  <si>
    <t>proporción 94 IO-impuestos</t>
  </si>
  <si>
    <t>porcetanje import</t>
  </si>
  <si>
    <t>porcentaje domes.</t>
  </si>
  <si>
    <t>(en nuevos soles)</t>
  </si>
  <si>
    <t>Asistencia alimentaria</t>
  </si>
  <si>
    <t>Gasto social</t>
  </si>
  <si>
    <t>Alimentos</t>
  </si>
  <si>
    <t>gsal</t>
  </si>
  <si>
    <t>gedu</t>
  </si>
  <si>
    <t>Asistencia alimentos y vestido</t>
  </si>
  <si>
    <t>Sector social</t>
  </si>
  <si>
    <t>Capital público</t>
  </si>
  <si>
    <t>Cuenta corriente del resto del mundo</t>
  </si>
  <si>
    <t>inversion</t>
  </si>
  <si>
    <t>total</t>
  </si>
  <si>
    <t>equipo</t>
  </si>
  <si>
    <t>nacional</t>
  </si>
  <si>
    <t>importado</t>
  </si>
  <si>
    <t>precios 94</t>
  </si>
  <si>
    <t>A la</t>
  </si>
  <si>
    <t>Produccion 1/</t>
  </si>
  <si>
    <t>Importación</t>
  </si>
  <si>
    <t>Consumo de</t>
  </si>
  <si>
    <t>Capital Fijo</t>
  </si>
  <si>
    <t>Excedente de</t>
  </si>
  <si>
    <t>Explotación</t>
  </si>
  <si>
    <t>precios corrientes</t>
  </si>
  <si>
    <t>PBI de acuerdo a pago a factores</t>
  </si>
  <si>
    <t>porcentajes</t>
  </si>
  <si>
    <t>ANEXO 6</t>
  </si>
  <si>
    <t>DEMANDA Y OFERTA GLOBAL</t>
  </si>
  <si>
    <t>(Millones de nuevos soles a precios de 1994)</t>
  </si>
  <si>
    <t>I.  Demanda Global</t>
  </si>
  <si>
    <t xml:space="preserve">     1. Demanda interna</t>
  </si>
  <si>
    <t xml:space="preserve">         a. Consumo privado</t>
  </si>
  <si>
    <t xml:space="preserve">         b. Consumo público</t>
  </si>
  <si>
    <t xml:space="preserve">         c. Inversión bruta interna</t>
  </si>
  <si>
    <t xml:space="preserve">             i.  Inversión bruta fija</t>
  </si>
  <si>
    <t xml:space="preserve">                   - Privada </t>
  </si>
  <si>
    <t xml:space="preserve">                   - Pública</t>
  </si>
  <si>
    <t xml:space="preserve">             ii. Variación de existencias</t>
  </si>
  <si>
    <t xml:space="preserve">     2. Exportación de bienes y servicios no financieros</t>
  </si>
  <si>
    <t>II.   Oferta Global</t>
  </si>
  <si>
    <t xml:space="preserve">     1. PBI</t>
  </si>
  <si>
    <t xml:space="preserve">     2. Importación de bienes y servicios no financieros</t>
  </si>
  <si>
    <t>Fuente: INEI y BCRP.</t>
  </si>
  <si>
    <t>Elaboración: Subgerencia del Sector Real.</t>
  </si>
  <si>
    <t>ANEXO 7</t>
  </si>
  <si>
    <t>(Millones de nuevos soles)</t>
  </si>
  <si>
    <t>Deuda externa</t>
  </si>
  <si>
    <t>Datos INEI 1991-2002</t>
  </si>
  <si>
    <t>22.14  OPERACIONES DE LAS EMPRESAS ESTATALES NO FINANCIERAS, 1991 - 2004</t>
  </si>
  <si>
    <t>2004</t>
  </si>
  <si>
    <t>22.3  OPERACIONES DEL SECTOR PUBLICO NO FINANCIERO, 1991 - 2000 (Resultado Primario)</t>
  </si>
  <si>
    <t>construcción</t>
  </si>
  <si>
    <t>45 ramas</t>
  </si>
  <si>
    <t>PBI</t>
  </si>
  <si>
    <t>nominal</t>
  </si>
  <si>
    <t>real</t>
  </si>
  <si>
    <t>real ajustado</t>
  </si>
  <si>
    <t>nominal ajustado</t>
  </si>
  <si>
    <t>zf104</t>
  </si>
  <si>
    <t>zf204</t>
  </si>
  <si>
    <t>zf304</t>
  </si>
  <si>
    <t>zf404</t>
  </si>
  <si>
    <t>zf504</t>
  </si>
  <si>
    <t>zf604</t>
  </si>
  <si>
    <t>zf704</t>
  </si>
  <si>
    <t>zf804</t>
  </si>
  <si>
    <t>zf904</t>
  </si>
  <si>
    <t>zf1004</t>
  </si>
  <si>
    <t>zf1104</t>
  </si>
  <si>
    <t>zf1204</t>
  </si>
  <si>
    <t>zf1304</t>
  </si>
  <si>
    <t>zf1404</t>
  </si>
  <si>
    <t>zf1504</t>
  </si>
  <si>
    <t>zfo104</t>
  </si>
  <si>
    <t>zfo204</t>
  </si>
  <si>
    <t>zfo304</t>
  </si>
  <si>
    <t>zfo404</t>
  </si>
  <si>
    <t>zfo504</t>
  </si>
  <si>
    <t>zfo604</t>
  </si>
  <si>
    <t>zfo704</t>
  </si>
  <si>
    <t>zfo804</t>
  </si>
  <si>
    <t>zfo904</t>
  </si>
  <si>
    <t>zfo1004</t>
  </si>
  <si>
    <t>zfo1104</t>
  </si>
  <si>
    <t>zfo1204</t>
  </si>
  <si>
    <t>zfo1304</t>
  </si>
  <si>
    <t>zfo1404</t>
  </si>
  <si>
    <t>zfo1504</t>
  </si>
  <si>
    <t>tf104</t>
  </si>
  <si>
    <t>tf204</t>
  </si>
  <si>
    <t>tf304</t>
  </si>
  <si>
    <t>tf404</t>
  </si>
  <si>
    <t>tf504</t>
  </si>
  <si>
    <t>tf604</t>
  </si>
  <si>
    <t>tf704</t>
  </si>
  <si>
    <t>tf804</t>
  </si>
  <si>
    <t>tf904</t>
  </si>
  <si>
    <t>tf1004</t>
  </si>
  <si>
    <t>tf1104</t>
  </si>
  <si>
    <t>tf1204</t>
  </si>
  <si>
    <t>tf1304</t>
  </si>
  <si>
    <t>tf1404</t>
  </si>
  <si>
    <t>tf1504</t>
  </si>
  <si>
    <t>tfo104</t>
  </si>
  <si>
    <t>tfo204</t>
  </si>
  <si>
    <t>tfo304</t>
  </si>
  <si>
    <t>tfo404</t>
  </si>
  <si>
    <t>tfo504</t>
  </si>
  <si>
    <t>tfo604</t>
  </si>
  <si>
    <t>tfo704</t>
  </si>
  <si>
    <t>tfo804</t>
  </si>
  <si>
    <t>tfo904</t>
  </si>
  <si>
    <t>tfo1004</t>
  </si>
  <si>
    <t>tfo1104</t>
  </si>
  <si>
    <t>tfo1204</t>
  </si>
  <si>
    <t>tfo1304</t>
  </si>
  <si>
    <t>tfo1404</t>
  </si>
  <si>
    <t>tfo1504</t>
  </si>
  <si>
    <t>demfin04</t>
  </si>
  <si>
    <t>conh04</t>
  </si>
  <si>
    <t>expor04</t>
  </si>
  <si>
    <t>fork04</t>
  </si>
  <si>
    <t>varex04</t>
  </si>
  <si>
    <t>cong04</t>
  </si>
  <si>
    <t>varagre04</t>
  </si>
  <si>
    <t>remunr04</t>
  </si>
  <si>
    <t>otimpur04</t>
  </si>
  <si>
    <t>concapr04</t>
  </si>
  <si>
    <t>exexr04</t>
  </si>
  <si>
    <t>rer04</t>
  </si>
  <si>
    <t>nrer04</t>
  </si>
  <si>
    <t>oferna04</t>
  </si>
  <si>
    <t>impor04</t>
  </si>
  <si>
    <t>derimp04</t>
  </si>
  <si>
    <t>impues04</t>
  </si>
  <si>
    <t>margenes04</t>
  </si>
  <si>
    <t>oferto04</t>
  </si>
  <si>
    <t>conhb04</t>
  </si>
  <si>
    <t>congb04</t>
  </si>
  <si>
    <t>forkb04</t>
  </si>
  <si>
    <t>exporb04</t>
  </si>
  <si>
    <t>varexb04</t>
  </si>
  <si>
    <t>demfinb04</t>
  </si>
  <si>
    <t>conhmb04</t>
  </si>
  <si>
    <t>congmb04</t>
  </si>
  <si>
    <t>forkmb04</t>
  </si>
  <si>
    <t>expormb04</t>
  </si>
  <si>
    <t>varexmb04</t>
  </si>
  <si>
    <t>demfinmb04</t>
  </si>
  <si>
    <t>Agropecuario</t>
  </si>
  <si>
    <t>Agrícola</t>
  </si>
  <si>
    <t>Pecuario</t>
  </si>
  <si>
    <t>Pesca</t>
  </si>
  <si>
    <t>Minería</t>
  </si>
  <si>
    <t>Hidrocarburos</t>
  </si>
  <si>
    <t>Manufacturera</t>
  </si>
  <si>
    <t>Primaria</t>
  </si>
  <si>
    <t>DI-Otros</t>
  </si>
  <si>
    <t>Derechos</t>
  </si>
  <si>
    <t>No Primaria</t>
  </si>
  <si>
    <t>Electricidad y agua</t>
  </si>
  <si>
    <t>Anual</t>
  </si>
  <si>
    <t>nominal corregido 04</t>
  </si>
  <si>
    <t>Sector</t>
  </si>
  <si>
    <t>Muebles</t>
  </si>
  <si>
    <t>Intermedios</t>
  </si>
  <si>
    <t>FabrilPrimario</t>
  </si>
  <si>
    <t>Harinayconservasdepescadoyotros</t>
  </si>
  <si>
    <t>Carneyproductoscárnicos</t>
  </si>
  <si>
    <t>Metalespreciososynoferrosos,primarios</t>
  </si>
  <si>
    <t>Productosderefinacióndepetróleo</t>
  </si>
  <si>
    <t>Refineríasdeazúcar</t>
  </si>
  <si>
    <t>FabrilNoPrimario</t>
  </si>
  <si>
    <t>deConsumo</t>
  </si>
  <si>
    <t>Tejidosyartículosdepuntoyganchillo</t>
  </si>
  <si>
    <t>Prendasdevestir,exc.prendasdepiel</t>
  </si>
  <si>
    <t>Otrasindustriasmanufacturerasn.c.p.</t>
  </si>
  <si>
    <t>Sustanciasquímicasbásicas</t>
  </si>
  <si>
    <t>Productosdearcillaycerámicanorefractariaparausoestructural</t>
  </si>
  <si>
    <t>Actividadesdeimpresión</t>
  </si>
  <si>
    <t>Cemento,calyyeso</t>
  </si>
  <si>
    <t>deCapital</t>
  </si>
  <si>
    <t>Aparatosdedistrib.ycontroldeenergíaeléctrica</t>
  </si>
  <si>
    <t>Motores,generadoresytransformadoreseléctricos</t>
  </si>
  <si>
    <t>Vehículosautomotores</t>
  </si>
  <si>
    <t>Agriculture and Livestock</t>
  </si>
  <si>
    <t xml:space="preserve">  Agriculture</t>
  </si>
  <si>
    <t xml:space="preserve">  Livestock</t>
  </si>
  <si>
    <t>Fishing</t>
  </si>
  <si>
    <t>Mining and fuel</t>
  </si>
  <si>
    <t xml:space="preserve">  Metals</t>
  </si>
  <si>
    <t xml:space="preserve">  Fuel</t>
  </si>
  <si>
    <t>Manufacturing</t>
  </si>
  <si>
    <t xml:space="preserve">  Based on raw materials 2/</t>
  </si>
  <si>
    <t xml:space="preserve">  Non-primary</t>
  </si>
  <si>
    <t xml:space="preserve">Electricity and water </t>
  </si>
  <si>
    <t>Construction</t>
  </si>
  <si>
    <t>Commerce</t>
  </si>
  <si>
    <t>Other services</t>
  </si>
  <si>
    <t>GROSS VALUE ADDED</t>
  </si>
  <si>
    <t>Taxes on products and import duties</t>
  </si>
  <si>
    <t>GDP</t>
  </si>
  <si>
    <t>Primary sectors gross value added</t>
  </si>
  <si>
    <t>Non- primary sectors gross value added</t>
  </si>
  <si>
    <t>Seasonally adjusted GDP 3/</t>
  </si>
  <si>
    <t>PERU: MATRIZ DE CONTABILIDAD SOCIAL 2004</t>
  </si>
  <si>
    <t>gal</t>
  </si>
  <si>
    <t>*Dato bruto por grupos</t>
  </si>
  <si>
    <t>CAPITAL</t>
  </si>
  <si>
    <t>AAGRO</t>
  </si>
  <si>
    <t>APES</t>
  </si>
  <si>
    <t>AMINPET</t>
  </si>
  <si>
    <t>ABEMOL</t>
  </si>
  <si>
    <t>ATEXVES</t>
  </si>
  <si>
    <t>AMAQMUE</t>
  </si>
  <si>
    <t>AQUIMPA</t>
  </si>
  <si>
    <t>ACONS</t>
  </si>
  <si>
    <t>ACOMER</t>
  </si>
  <si>
    <t>ATRANCO</t>
  </si>
  <si>
    <t>ASAL</t>
  </si>
  <si>
    <t>AEDU</t>
  </si>
  <si>
    <t>ASERGU</t>
  </si>
  <si>
    <t>ASERME</t>
  </si>
  <si>
    <t>ARESAL</t>
  </si>
  <si>
    <t>+</t>
  </si>
  <si>
    <t>demanda</t>
  </si>
  <si>
    <t>oferta</t>
  </si>
  <si>
    <t>BCR</t>
  </si>
  <si>
    <t>MEF-Book</t>
  </si>
  <si>
    <t>Gasto</t>
  </si>
  <si>
    <t>Ingreso</t>
  </si>
  <si>
    <t>Ahorro</t>
  </si>
  <si>
    <t>Ingreso/gasto</t>
  </si>
  <si>
    <t>Ahorro/gasto</t>
  </si>
  <si>
    <t>ahorro/gasto</t>
  </si>
  <si>
    <t>Datos de ingresos solo trabajo no independiente</t>
  </si>
  <si>
    <t>Datos de ingresos todo ingreso laboral</t>
  </si>
  <si>
    <t>Ingreso laboral total</t>
  </si>
  <si>
    <t>Ingresos indep</t>
  </si>
  <si>
    <t>Ingresos asalariado</t>
  </si>
  <si>
    <t>Ingresos totales</t>
  </si>
  <si>
    <t>Ingresos dependientes</t>
  </si>
  <si>
    <t>Empleo remunerado</t>
  </si>
  <si>
    <t>Empleo total</t>
  </si>
  <si>
    <t>Reparto por hogares</t>
  </si>
  <si>
    <t>Datos de ingresos independientes</t>
  </si>
  <si>
    <t>imp.</t>
  </si>
  <si>
    <t>Maquinaria y equipo, material de transporte, muebles de madera y metal, productos de metal, caucho y plástico y otros manufacturados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</si>
</sst>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81" formatCode="_-* #,##0.00_-;\-* #,##0.00_-;_-* &quot;-&quot;??_-;_-@_-"/>
    <numFmt numFmtId="182" formatCode="0.0"/>
    <numFmt numFmtId="183" formatCode="#,##0.0"/>
    <numFmt numFmtId="184" formatCode="0.0_)"/>
    <numFmt numFmtId="185" formatCode="0_)"/>
    <numFmt numFmtId="186" formatCode="0.000"/>
    <numFmt numFmtId="187" formatCode="0.0%"/>
    <numFmt numFmtId="188" formatCode="#,##0.00000"/>
    <numFmt numFmtId="189" formatCode="#,##0.000"/>
    <numFmt numFmtId="190" formatCode="#\ ##0"/>
    <numFmt numFmtId="191" formatCode="#,##0.00;[Red]#,##0.00"/>
    <numFmt numFmtId="192" formatCode="#,##0;[Red]#,##0"/>
    <numFmt numFmtId="193" formatCode="0.000000"/>
    <numFmt numFmtId="194" formatCode="0.0000"/>
    <numFmt numFmtId="196" formatCode="0.00000"/>
  </numFmts>
  <fonts count="74" x14ac:knownFonts="1">
    <font>
      <sz val="10"/>
      <name val="Garamond"/>
    </font>
    <font>
      <sz val="10"/>
      <name val="Garamond"/>
    </font>
    <font>
      <sz val="12"/>
      <name val="Garamond"/>
      <family val="1"/>
    </font>
    <font>
      <b/>
      <sz val="10"/>
      <name val="Arial Narrow"/>
      <family val="2"/>
    </font>
    <font>
      <sz val="7"/>
      <name val="Times New Roman"/>
    </font>
    <font>
      <sz val="7"/>
      <name val="Arial"/>
      <family val="2"/>
    </font>
    <font>
      <b/>
      <sz val="12"/>
      <name val="Arial Narrow"/>
      <family val="2"/>
    </font>
    <font>
      <b/>
      <sz val="9"/>
      <name val="Arial Narrow"/>
      <family val="2"/>
    </font>
    <font>
      <b/>
      <i/>
      <sz val="10"/>
      <name val="Arial"/>
      <family val="2"/>
    </font>
    <font>
      <b/>
      <sz val="10"/>
      <name val="Arial Rounded MT Bold"/>
      <family val="2"/>
    </font>
    <font>
      <b/>
      <sz val="7"/>
      <name val="Arial Narrow"/>
      <family val="2"/>
    </font>
    <font>
      <sz val="7"/>
      <name val="Arial Narrow"/>
      <family val="2"/>
    </font>
    <font>
      <sz val="6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7"/>
      <name val="Arial"/>
    </font>
    <font>
      <i/>
      <sz val="10"/>
      <name val="Arial"/>
      <family val="2"/>
    </font>
    <font>
      <i/>
      <sz val="7"/>
      <name val="Arial"/>
      <family val="2"/>
    </font>
    <font>
      <i/>
      <sz val="8"/>
      <name val="Arial"/>
      <family val="2"/>
    </font>
    <font>
      <b/>
      <sz val="10"/>
      <name val="Arial Rounded MT Bold"/>
    </font>
    <font>
      <b/>
      <i/>
      <sz val="12"/>
      <name val="Arial Black"/>
      <family val="2"/>
    </font>
    <font>
      <b/>
      <sz val="6"/>
      <name val="Arial Narrow"/>
      <family val="2"/>
    </font>
    <font>
      <b/>
      <i/>
      <sz val="12"/>
      <name val="Arial Narrow"/>
      <family val="2"/>
    </font>
    <font>
      <b/>
      <sz val="8"/>
      <name val="Arial Narrow"/>
      <family val="2"/>
    </font>
    <font>
      <b/>
      <i/>
      <sz val="7"/>
      <name val="Arial"/>
      <family val="2"/>
    </font>
    <font>
      <b/>
      <i/>
      <sz val="10"/>
      <name val="Arial Narrow"/>
      <family val="2"/>
    </font>
    <font>
      <sz val="10"/>
      <color indexed="10"/>
      <name val="Garamond"/>
      <family val="1"/>
    </font>
    <font>
      <i/>
      <sz val="6"/>
      <name val="Arial"/>
      <family val="2"/>
    </font>
    <font>
      <b/>
      <i/>
      <sz val="6"/>
      <name val="Arial"/>
      <family val="2"/>
    </font>
    <font>
      <b/>
      <sz val="12"/>
      <name val="Garamond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Garamond"/>
      <family val="1"/>
    </font>
    <font>
      <sz val="14"/>
      <name val="Garamond"/>
      <family val="1"/>
    </font>
    <font>
      <sz val="12"/>
      <color indexed="10"/>
      <name val="Garamond"/>
      <family val="1"/>
    </font>
    <font>
      <sz val="12"/>
      <color indexed="37"/>
      <name val="Garamond"/>
      <family val="1"/>
    </font>
    <font>
      <sz val="10"/>
      <color indexed="37"/>
      <name val="Garamond"/>
      <family val="1"/>
    </font>
    <font>
      <b/>
      <sz val="15"/>
      <color indexed="81"/>
      <name val="Garamond"/>
      <family val="1"/>
    </font>
    <font>
      <sz val="16"/>
      <name val="Garamond"/>
      <family val="1"/>
    </font>
    <font>
      <b/>
      <sz val="16"/>
      <name val="Garamond"/>
      <family val="1"/>
    </font>
    <font>
      <i/>
      <sz val="10"/>
      <name val="Arial Narrow"/>
      <family val="2"/>
    </font>
    <font>
      <b/>
      <i/>
      <sz val="8"/>
      <name val="Arial Narrow"/>
      <family val="2"/>
    </font>
    <font>
      <i/>
      <sz val="8"/>
      <name val="Arial Narrow"/>
      <family val="2"/>
    </font>
    <font>
      <sz val="8"/>
      <name val="Arial Narrow"/>
      <family val="2"/>
    </font>
    <font>
      <u/>
      <sz val="6"/>
      <color indexed="12"/>
      <name val="Garamond"/>
    </font>
    <font>
      <b/>
      <sz val="14"/>
      <name val="Garamond"/>
      <family val="1"/>
    </font>
    <font>
      <sz val="10"/>
      <name val="Arial"/>
    </font>
    <font>
      <sz val="10"/>
      <name val="Arial"/>
      <family val="2"/>
    </font>
    <font>
      <sz val="10"/>
      <name val="Times New Roman"/>
    </font>
    <font>
      <b/>
      <sz val="10"/>
      <name val="Arial"/>
      <family val="2"/>
    </font>
    <font>
      <b/>
      <sz val="8"/>
      <name val="Times New Roman"/>
      <family val="1"/>
    </font>
    <font>
      <b/>
      <sz val="8"/>
      <name val="Arial"/>
    </font>
    <font>
      <sz val="8"/>
      <name val="Arial"/>
    </font>
    <font>
      <sz val="8"/>
      <name val="Times New Roman"/>
    </font>
    <font>
      <sz val="10"/>
      <name val="Courier New"/>
      <family val="3"/>
    </font>
    <font>
      <sz val="10"/>
      <name val="Garamond"/>
      <family val="1"/>
    </font>
    <font>
      <sz val="9"/>
      <color indexed="81"/>
      <name val="Tahoma"/>
    </font>
    <font>
      <b/>
      <sz val="9"/>
      <color indexed="81"/>
      <name val="Tahoma"/>
    </font>
    <font>
      <b/>
      <sz val="9"/>
      <color indexed="9"/>
      <name val="Arial"/>
    </font>
    <font>
      <sz val="10"/>
      <color indexed="81"/>
      <name val="Tahoma"/>
    </font>
    <font>
      <b/>
      <sz val="10"/>
      <color indexed="81"/>
      <name val="Tahoma"/>
    </font>
    <font>
      <sz val="16"/>
      <color indexed="10"/>
      <name val="Garamond"/>
      <family val="1"/>
    </font>
    <font>
      <sz val="16"/>
      <name val="Arial"/>
      <family val="2"/>
    </font>
    <font>
      <sz val="12"/>
      <name val="Arial"/>
      <family val="2"/>
    </font>
    <font>
      <b/>
      <sz val="10"/>
      <name val="Century Gothic"/>
      <family val="2"/>
    </font>
    <font>
      <sz val="11"/>
      <name val="Arial Narrow"/>
    </font>
    <font>
      <u/>
      <sz val="10"/>
      <name val="Garamond"/>
      <family val="1"/>
    </font>
    <font>
      <sz val="10"/>
      <name val="Century Gothic"/>
      <family val="2"/>
    </font>
    <font>
      <sz val="18"/>
      <name val="Garamond"/>
      <family val="1"/>
    </font>
    <font>
      <sz val="24"/>
      <name val="Garamond"/>
      <family val="1"/>
    </font>
    <font>
      <sz val="14"/>
      <name val="Courier New"/>
      <family val="3"/>
    </font>
  </fonts>
  <fills count="1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11"/>
        <bgColor indexed="64"/>
      </patternFill>
    </fill>
  </fills>
  <borders count="31">
    <border>
      <left/>
      <right/>
      <top/>
      <bottom/>
      <diagonal/>
    </border>
    <border>
      <left/>
      <right style="thick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/>
      <right style="thick">
        <color indexed="49"/>
      </right>
      <top/>
      <bottom/>
      <diagonal/>
    </border>
    <border>
      <left style="thick">
        <color indexed="49"/>
      </left>
      <right/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/>
      <right style="thick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49"/>
      </top>
      <bottom/>
      <diagonal/>
    </border>
  </borders>
  <cellStyleXfs count="22">
    <xf numFmtId="0" fontId="0" fillId="0" borderId="0"/>
    <xf numFmtId="181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9" fillId="0" borderId="0"/>
    <xf numFmtId="0" fontId="49" fillId="0" borderId="0"/>
  </cellStyleXfs>
  <cellXfs count="852">
    <xf numFmtId="0" fontId="0" fillId="0" borderId="0" xfId="0"/>
    <xf numFmtId="0" fontId="3" fillId="0" borderId="0" xfId="9" applyFont="1" applyAlignment="1" applyProtection="1">
      <alignment horizontal="left"/>
    </xf>
    <xf numFmtId="0" fontId="5" fillId="0" borderId="0" xfId="9" applyFont="1"/>
    <xf numFmtId="0" fontId="6" fillId="0" borderId="0" xfId="9" applyFont="1" applyAlignment="1" applyProtection="1">
      <alignment horizontal="left"/>
    </xf>
    <xf numFmtId="49" fontId="7" fillId="0" borderId="0" xfId="9" applyNumberFormat="1" applyFont="1" applyAlignment="1" applyProtection="1">
      <alignment horizontal="left"/>
    </xf>
    <xf numFmtId="0" fontId="8" fillId="0" borderId="0" xfId="9" applyFont="1" applyAlignment="1">
      <alignment horizontal="centerContinuous"/>
    </xf>
    <xf numFmtId="49" fontId="9" fillId="0" borderId="0" xfId="9" applyNumberFormat="1" applyFont="1" applyAlignment="1" applyProtection="1">
      <alignment horizontal="left"/>
    </xf>
    <xf numFmtId="0" fontId="10" fillId="0" borderId="1" xfId="6" applyFont="1" applyBorder="1" applyAlignment="1" applyProtection="1">
      <alignment horizontal="center"/>
    </xf>
    <xf numFmtId="0" fontId="11" fillId="0" borderId="2" xfId="9" applyFont="1" applyBorder="1"/>
    <xf numFmtId="0" fontId="10" fillId="0" borderId="2" xfId="6" applyFont="1" applyBorder="1" applyAlignment="1" applyProtection="1">
      <alignment horizontal="left"/>
    </xf>
    <xf numFmtId="0" fontId="11" fillId="0" borderId="3" xfId="6" applyFont="1" applyBorder="1"/>
    <xf numFmtId="0" fontId="10" fillId="0" borderId="4" xfId="6" applyFont="1" applyBorder="1" applyAlignment="1" applyProtection="1">
      <alignment horizontal="right" vertical="center"/>
    </xf>
    <xf numFmtId="0" fontId="10" fillId="0" borderId="5" xfId="6" applyFont="1" applyBorder="1" applyAlignment="1" applyProtection="1">
      <alignment horizontal="right" vertical="center"/>
    </xf>
    <xf numFmtId="0" fontId="10" fillId="0" borderId="2" xfId="6" applyFont="1" applyBorder="1" applyAlignment="1" applyProtection="1">
      <alignment horizontal="right" vertical="center"/>
    </xf>
    <xf numFmtId="0" fontId="10" fillId="0" borderId="2" xfId="6" quotePrefix="1" applyFont="1" applyBorder="1" applyAlignment="1" applyProtection="1">
      <alignment horizontal="right" vertical="center"/>
    </xf>
    <xf numFmtId="49" fontId="10" fillId="0" borderId="2" xfId="6" applyNumberFormat="1" applyFont="1" applyBorder="1" applyAlignment="1" applyProtection="1">
      <alignment horizontal="right" vertical="center"/>
    </xf>
    <xf numFmtId="0" fontId="10" fillId="0" borderId="0" xfId="6" applyFont="1" applyBorder="1" applyAlignment="1" applyProtection="1">
      <alignment horizontal="right" vertical="center"/>
    </xf>
    <xf numFmtId="0" fontId="11" fillId="0" borderId="0" xfId="0" applyFont="1" applyAlignment="1">
      <alignment horizontal="centerContinuous"/>
    </xf>
    <xf numFmtId="1" fontId="11" fillId="0" borderId="0" xfId="9" applyNumberFormat="1" applyFont="1" applyAlignment="1" applyProtection="1">
      <alignment horizontal="right"/>
    </xf>
    <xf numFmtId="3" fontId="11" fillId="0" borderId="0" xfId="9" applyNumberFormat="1" applyFont="1" applyAlignment="1" applyProtection="1">
      <alignment horizontal="right"/>
    </xf>
    <xf numFmtId="3" fontId="11" fillId="0" borderId="0" xfId="9" applyNumberFormat="1" applyFont="1" applyBorder="1" applyAlignment="1" applyProtection="1">
      <alignment horizontal="right"/>
    </xf>
    <xf numFmtId="3" fontId="11" fillId="0" borderId="0" xfId="9" applyNumberFormat="1" applyFont="1" applyAlignment="1">
      <alignment horizontal="right"/>
    </xf>
    <xf numFmtId="0" fontId="11" fillId="0" borderId="3" xfId="8" applyFont="1" applyBorder="1" applyAlignment="1" applyProtection="1">
      <alignment horizontal="left"/>
    </xf>
    <xf numFmtId="0" fontId="10" fillId="0" borderId="3" xfId="8" applyFont="1" applyBorder="1" applyAlignment="1" applyProtection="1">
      <alignment horizontal="left"/>
    </xf>
    <xf numFmtId="1" fontId="10" fillId="0" borderId="0" xfId="9" applyNumberFormat="1" applyFont="1" applyAlignment="1" applyProtection="1">
      <alignment horizontal="right"/>
    </xf>
    <xf numFmtId="3" fontId="10" fillId="0" borderId="0" xfId="9" applyNumberFormat="1" applyFont="1" applyAlignment="1" applyProtection="1">
      <alignment horizontal="right"/>
    </xf>
    <xf numFmtId="1" fontId="10" fillId="0" borderId="0" xfId="9" applyNumberFormat="1" applyFont="1" applyBorder="1" applyAlignment="1" applyProtection="1">
      <alignment horizontal="right"/>
    </xf>
    <xf numFmtId="3" fontId="10" fillId="0" borderId="0" xfId="9" applyNumberFormat="1" applyFont="1" applyBorder="1" applyAlignment="1" applyProtection="1">
      <alignment horizontal="right"/>
    </xf>
    <xf numFmtId="1" fontId="11" fillId="0" borderId="0" xfId="9" applyNumberFormat="1" applyFont="1" applyBorder="1" applyAlignment="1" applyProtection="1">
      <alignment horizontal="right"/>
    </xf>
    <xf numFmtId="3" fontId="11" fillId="0" borderId="0" xfId="9" applyNumberFormat="1" applyFont="1" applyBorder="1" applyAlignment="1">
      <alignment horizontal="right"/>
    </xf>
    <xf numFmtId="3" fontId="11" fillId="0" borderId="0" xfId="0" applyNumberFormat="1" applyFont="1" applyAlignment="1">
      <alignment horizontal="right"/>
    </xf>
    <xf numFmtId="0" fontId="5" fillId="0" borderId="6" xfId="8" applyFont="1" applyBorder="1" applyAlignment="1" applyProtection="1">
      <alignment horizontal="left"/>
    </xf>
    <xf numFmtId="1" fontId="5" fillId="0" borderId="0" xfId="9" applyNumberFormat="1" applyFont="1" applyBorder="1" applyAlignment="1" applyProtection="1">
      <alignment horizontal="right"/>
    </xf>
    <xf numFmtId="1" fontId="5" fillId="0" borderId="0" xfId="9" applyNumberFormat="1" applyFont="1" applyBorder="1" applyAlignment="1">
      <alignment horizontal="right"/>
    </xf>
    <xf numFmtId="0" fontId="12" fillId="0" borderId="2" xfId="8" applyFont="1" applyBorder="1" applyAlignment="1" applyProtection="1">
      <alignment horizontal="left"/>
    </xf>
    <xf numFmtId="1" fontId="5" fillId="0" borderId="2" xfId="9" applyNumberFormat="1" applyFont="1" applyBorder="1" applyAlignment="1" applyProtection="1">
      <alignment horizontal="right"/>
    </xf>
    <xf numFmtId="1" fontId="5" fillId="0" borderId="2" xfId="9" applyNumberFormat="1" applyFont="1" applyBorder="1" applyAlignment="1">
      <alignment horizontal="right"/>
    </xf>
    <xf numFmtId="0" fontId="12" fillId="0" borderId="0" xfId="9" quotePrefix="1" applyFont="1" applyAlignment="1" applyProtection="1">
      <alignment horizontal="left"/>
    </xf>
    <xf numFmtId="0" fontId="13" fillId="0" borderId="0" xfId="5" applyFont="1" applyAlignment="1" applyProtection="1">
      <alignment horizontal="left"/>
    </xf>
    <xf numFmtId="1" fontId="14" fillId="0" borderId="0" xfId="9" applyNumberFormat="1" applyFont="1" applyAlignment="1">
      <alignment horizontal="centerContinuous"/>
    </xf>
    <xf numFmtId="0" fontId="10" fillId="0" borderId="2" xfId="6" applyFont="1" applyBorder="1" applyAlignment="1" applyProtection="1">
      <alignment horizontal="left" vertical="center"/>
    </xf>
    <xf numFmtId="0" fontId="15" fillId="0" borderId="0" xfId="9" applyFont="1" applyBorder="1"/>
    <xf numFmtId="0" fontId="5" fillId="0" borderId="0" xfId="9" applyFont="1" applyBorder="1"/>
    <xf numFmtId="49" fontId="7" fillId="0" borderId="0" xfId="10" applyNumberFormat="1" applyFont="1" applyAlignment="1" applyProtection="1">
      <alignment horizontal="left"/>
    </xf>
    <xf numFmtId="1" fontId="16" fillId="0" borderId="0" xfId="10" applyNumberFormat="1" applyFont="1" applyAlignment="1">
      <alignment horizontal="centerContinuous"/>
    </xf>
    <xf numFmtId="1" fontId="16" fillId="0" borderId="0" xfId="10" applyNumberFormat="1" applyFont="1" applyBorder="1" applyAlignment="1">
      <alignment horizontal="centerContinuous"/>
    </xf>
    <xf numFmtId="1" fontId="16" fillId="0" borderId="0" xfId="10" applyNumberFormat="1" applyFont="1"/>
    <xf numFmtId="0" fontId="5" fillId="0" borderId="0" xfId="10" applyFont="1"/>
    <xf numFmtId="49" fontId="9" fillId="0" borderId="0" xfId="10" applyNumberFormat="1" applyFont="1" applyAlignment="1" applyProtection="1">
      <alignment horizontal="left"/>
    </xf>
    <xf numFmtId="0" fontId="10" fillId="0" borderId="4" xfId="8" applyFont="1" applyBorder="1" applyAlignment="1">
      <alignment horizontal="left" vertical="center"/>
    </xf>
    <xf numFmtId="0" fontId="10" fillId="0" borderId="5" xfId="8" applyFont="1" applyBorder="1" applyAlignment="1">
      <alignment horizontal="left" vertical="center"/>
    </xf>
    <xf numFmtId="0" fontId="17" fillId="0" borderId="3" xfId="0" applyFont="1" applyBorder="1" applyAlignment="1">
      <alignment horizontal="center" vertical="center"/>
    </xf>
    <xf numFmtId="0" fontId="10" fillId="0" borderId="3" xfId="11" applyFont="1" applyBorder="1" applyAlignment="1" applyProtection="1">
      <alignment horizontal="left"/>
    </xf>
    <xf numFmtId="1" fontId="10" fillId="0" borderId="0" xfId="10" applyNumberFormat="1" applyFont="1" applyBorder="1" applyAlignment="1" applyProtection="1">
      <alignment horizontal="right"/>
    </xf>
    <xf numFmtId="3" fontId="10" fillId="0" borderId="0" xfId="10" applyNumberFormat="1" applyFont="1" applyBorder="1" applyAlignment="1" applyProtection="1">
      <alignment horizontal="right"/>
    </xf>
    <xf numFmtId="0" fontId="11" fillId="0" borderId="3" xfId="10" applyFont="1" applyBorder="1" applyAlignment="1" applyProtection="1">
      <alignment horizontal="left" indent="1"/>
    </xf>
    <xf numFmtId="1" fontId="11" fillId="0" borderId="0" xfId="10" applyNumberFormat="1" applyFont="1" applyAlignment="1" applyProtection="1">
      <alignment horizontal="right"/>
    </xf>
    <xf numFmtId="3" fontId="11" fillId="0" borderId="0" xfId="10" applyNumberFormat="1" applyFont="1" applyAlignment="1" applyProtection="1">
      <alignment horizontal="right"/>
    </xf>
    <xf numFmtId="0" fontId="11" fillId="0" borderId="3" xfId="10" applyFont="1" applyBorder="1" applyAlignment="1" applyProtection="1">
      <alignment horizontal="left" indent="2"/>
    </xf>
    <xf numFmtId="3" fontId="11" fillId="0" borderId="0" xfId="10" applyNumberFormat="1" applyFont="1" applyBorder="1" applyAlignment="1" applyProtection="1">
      <alignment horizontal="right"/>
    </xf>
    <xf numFmtId="3" fontId="11" fillId="0" borderId="0" xfId="10" applyNumberFormat="1" applyFont="1" applyAlignment="1">
      <alignment horizontal="right"/>
    </xf>
    <xf numFmtId="0" fontId="11" fillId="0" borderId="3" xfId="10" applyFont="1" applyBorder="1" applyAlignment="1" applyProtection="1">
      <alignment horizontal="left" indent="3"/>
    </xf>
    <xf numFmtId="0" fontId="11" fillId="0" borderId="3" xfId="10" applyFont="1" applyBorder="1" applyAlignment="1" applyProtection="1">
      <alignment horizontal="left" indent="4"/>
    </xf>
    <xf numFmtId="1" fontId="11" fillId="0" borderId="0" xfId="10" applyNumberFormat="1" applyFont="1" applyBorder="1" applyAlignment="1" applyProtection="1">
      <alignment horizontal="right"/>
    </xf>
    <xf numFmtId="3" fontId="11" fillId="0" borderId="0" xfId="10" applyNumberFormat="1" applyFont="1" applyBorder="1" applyAlignment="1">
      <alignment horizontal="right"/>
    </xf>
    <xf numFmtId="0" fontId="11" fillId="0" borderId="6" xfId="10" applyFont="1" applyBorder="1" applyAlignment="1" applyProtection="1">
      <alignment horizontal="left" indent="1"/>
    </xf>
    <xf numFmtId="1" fontId="11" fillId="0" borderId="0" xfId="10" applyNumberFormat="1" applyFont="1" applyBorder="1" applyAlignment="1">
      <alignment horizontal="right"/>
    </xf>
    <xf numFmtId="0" fontId="5" fillId="0" borderId="2" xfId="10" applyFont="1" applyBorder="1" applyAlignment="1" applyProtection="1">
      <alignment horizontal="left" indent="1"/>
    </xf>
    <xf numFmtId="1" fontId="18" fillId="0" borderId="2" xfId="10" applyNumberFormat="1" applyFont="1" applyBorder="1" applyAlignment="1" applyProtection="1">
      <alignment horizontal="right"/>
    </xf>
    <xf numFmtId="1" fontId="18" fillId="0" borderId="2" xfId="10" applyNumberFormat="1" applyFont="1" applyBorder="1" applyAlignment="1">
      <alignment horizontal="right"/>
    </xf>
    <xf numFmtId="1" fontId="5" fillId="0" borderId="2" xfId="10" applyNumberFormat="1" applyFont="1" applyBorder="1" applyAlignment="1">
      <alignment horizontal="right"/>
    </xf>
    <xf numFmtId="0" fontId="7" fillId="0" borderId="0" xfId="12" applyFont="1" applyAlignment="1" applyProtection="1">
      <alignment horizontal="left"/>
    </xf>
    <xf numFmtId="0" fontId="19" fillId="0" borderId="0" xfId="12" applyFont="1" applyAlignment="1">
      <alignment horizontal="centerContinuous"/>
    </xf>
    <xf numFmtId="0" fontId="8" fillId="0" borderId="0" xfId="12" applyFont="1" applyAlignment="1" applyProtection="1">
      <alignment horizontal="centerContinuous"/>
    </xf>
    <xf numFmtId="0" fontId="19" fillId="0" borderId="0" xfId="12" applyFont="1" applyBorder="1" applyAlignment="1">
      <alignment horizontal="centerContinuous"/>
    </xf>
    <xf numFmtId="0" fontId="9" fillId="0" borderId="0" xfId="12" applyFont="1" applyAlignment="1" applyProtection="1">
      <alignment horizontal="left"/>
    </xf>
    <xf numFmtId="0" fontId="15" fillId="0" borderId="1" xfId="12" applyFont="1" applyBorder="1" applyAlignment="1" applyProtection="1">
      <alignment horizontal="left"/>
    </xf>
    <xf numFmtId="0" fontId="10" fillId="0" borderId="2" xfId="12" applyFont="1" applyBorder="1" applyAlignment="1" applyProtection="1">
      <alignment horizontal="right"/>
    </xf>
    <xf numFmtId="0" fontId="10" fillId="0" borderId="2" xfId="12" applyFont="1" applyBorder="1" applyAlignment="1" applyProtection="1">
      <alignment horizontal="centerContinuous" vertical="center"/>
    </xf>
    <xf numFmtId="0" fontId="10" fillId="0" borderId="2" xfId="12" applyFont="1" applyBorder="1" applyAlignment="1">
      <alignment horizontal="centerContinuous"/>
    </xf>
    <xf numFmtId="0" fontId="10" fillId="0" borderId="2" xfId="12" quotePrefix="1" applyFont="1" applyBorder="1" applyAlignment="1" applyProtection="1">
      <alignment horizontal="right"/>
    </xf>
    <xf numFmtId="0" fontId="15" fillId="0" borderId="3" xfId="12" applyFont="1" applyBorder="1" applyAlignment="1" applyProtection="1">
      <alignment horizontal="center"/>
    </xf>
    <xf numFmtId="0" fontId="10" fillId="0" borderId="0" xfId="12" applyFont="1" applyBorder="1" applyAlignment="1" applyProtection="1">
      <alignment horizontal="right"/>
    </xf>
    <xf numFmtId="0" fontId="15" fillId="0" borderId="3" xfId="12" applyFont="1" applyBorder="1"/>
    <xf numFmtId="0" fontId="10" fillId="0" borderId="0" xfId="12" quotePrefix="1" applyFont="1" applyBorder="1" applyAlignment="1">
      <alignment horizontal="right"/>
    </xf>
    <xf numFmtId="0" fontId="10" fillId="0" borderId="0" xfId="12" quotePrefix="1" applyFont="1" applyBorder="1" applyAlignment="1" applyProtection="1">
      <alignment horizontal="right"/>
    </xf>
    <xf numFmtId="0" fontId="10" fillId="0" borderId="0" xfId="12" applyFont="1" applyBorder="1" applyAlignment="1">
      <alignment horizontal="right"/>
    </xf>
    <xf numFmtId="0" fontId="10" fillId="0" borderId="2" xfId="12" quotePrefix="1" applyFont="1" applyBorder="1" applyAlignment="1">
      <alignment horizontal="center"/>
    </xf>
    <xf numFmtId="0" fontId="10" fillId="0" borderId="2" xfId="12" quotePrefix="1" applyFont="1" applyBorder="1" applyAlignment="1" applyProtection="1">
      <alignment horizontal="center"/>
    </xf>
    <xf numFmtId="0" fontId="10" fillId="0" borderId="2" xfId="12" applyFont="1" applyBorder="1" applyAlignment="1" applyProtection="1">
      <alignment horizontal="center"/>
    </xf>
    <xf numFmtId="0" fontId="10" fillId="0" borderId="2" xfId="12" applyFont="1" applyBorder="1" applyAlignment="1">
      <alignment horizontal="center"/>
    </xf>
    <xf numFmtId="0" fontId="5" fillId="0" borderId="3" xfId="12" applyFont="1" applyBorder="1" applyAlignment="1" applyProtection="1">
      <alignment horizontal="left"/>
    </xf>
    <xf numFmtId="3" fontId="11" fillId="0" borderId="0" xfId="12" applyNumberFormat="1" applyFont="1" applyAlignment="1" applyProtection="1">
      <alignment horizontal="right"/>
    </xf>
    <xf numFmtId="182" fontId="11" fillId="0" borderId="0" xfId="12" applyNumberFormat="1" applyFont="1" applyBorder="1" applyAlignment="1" applyProtection="1">
      <alignment horizontal="right"/>
    </xf>
    <xf numFmtId="183" fontId="11" fillId="0" borderId="0" xfId="12" applyNumberFormat="1" applyFont="1" applyBorder="1" applyAlignment="1" applyProtection="1">
      <alignment horizontal="right"/>
    </xf>
    <xf numFmtId="0" fontId="5" fillId="0" borderId="3" xfId="12" quotePrefix="1" applyFont="1" applyBorder="1" applyAlignment="1" applyProtection="1">
      <alignment horizontal="left"/>
    </xf>
    <xf numFmtId="0" fontId="5" fillId="0" borderId="2" xfId="12" applyFont="1" applyBorder="1" applyAlignment="1" applyProtection="1">
      <alignment horizontal="center"/>
    </xf>
    <xf numFmtId="1" fontId="5" fillId="0" borderId="2" xfId="10" applyNumberFormat="1" applyFont="1" applyBorder="1" applyAlignment="1" applyProtection="1">
      <alignment horizontal="right"/>
    </xf>
    <xf numFmtId="182" fontId="5" fillId="0" borderId="2" xfId="12" applyNumberFormat="1" applyFont="1" applyBorder="1" applyAlignment="1" applyProtection="1">
      <alignment horizontal="right"/>
    </xf>
    <xf numFmtId="184" fontId="5" fillId="0" borderId="2" xfId="12" applyNumberFormat="1" applyFont="1" applyBorder="1" applyAlignment="1" applyProtection="1">
      <alignment horizontal="right"/>
    </xf>
    <xf numFmtId="0" fontId="12" fillId="0" borderId="0" xfId="12" quotePrefix="1" applyFont="1" applyBorder="1" applyAlignment="1" applyProtection="1">
      <alignment horizontal="left"/>
    </xf>
    <xf numFmtId="1" fontId="15" fillId="0" borderId="0" xfId="10" applyNumberFormat="1" applyFont="1" applyBorder="1" applyAlignment="1" applyProtection="1">
      <alignment horizontal="right"/>
    </xf>
    <xf numFmtId="0" fontId="20" fillId="0" borderId="0" xfId="12" applyFont="1" applyBorder="1"/>
    <xf numFmtId="0" fontId="12" fillId="0" borderId="0" xfId="12" quotePrefix="1" applyFont="1" applyAlignment="1" applyProtection="1">
      <alignment horizontal="left"/>
    </xf>
    <xf numFmtId="0" fontId="20" fillId="0" borderId="0" xfId="12" applyFont="1"/>
    <xf numFmtId="0" fontId="13" fillId="0" borderId="0" xfId="9" applyFont="1" applyAlignment="1">
      <alignment horizontal="left" indent="3"/>
    </xf>
    <xf numFmtId="0" fontId="5" fillId="0" borderId="0" xfId="12" applyFont="1"/>
    <xf numFmtId="0" fontId="7" fillId="0" borderId="0" xfId="15" applyFont="1" applyAlignment="1" applyProtection="1">
      <alignment horizontal="left"/>
    </xf>
    <xf numFmtId="0" fontId="8" fillId="0" borderId="0" xfId="15" applyFont="1" applyAlignment="1">
      <alignment horizontal="centerContinuous"/>
    </xf>
    <xf numFmtId="182" fontId="8" fillId="0" borderId="0" xfId="15" applyNumberFormat="1" applyFont="1" applyAlignment="1">
      <alignment horizontal="centerContinuous"/>
    </xf>
    <xf numFmtId="0" fontId="5" fillId="0" borderId="0" xfId="15" applyFont="1"/>
    <xf numFmtId="0" fontId="5" fillId="0" borderId="0" xfId="14" applyFont="1" applyBorder="1"/>
    <xf numFmtId="0" fontId="5" fillId="0" borderId="0" xfId="14" applyFont="1"/>
    <xf numFmtId="0" fontId="9" fillId="0" borderId="0" xfId="15" applyFont="1" applyAlignment="1" applyProtection="1">
      <alignment horizontal="left"/>
    </xf>
    <xf numFmtId="0" fontId="10" fillId="0" borderId="2" xfId="15" applyFont="1" applyBorder="1" applyAlignment="1" applyProtection="1">
      <alignment horizontal="center" vertical="center" wrapText="1"/>
    </xf>
    <xf numFmtId="0" fontId="10" fillId="0" borderId="2" xfId="14" applyFont="1" applyBorder="1" applyAlignment="1" applyProtection="1">
      <alignment horizontal="centerContinuous"/>
    </xf>
    <xf numFmtId="0" fontId="10" fillId="0" borderId="2" xfId="15" applyFont="1" applyBorder="1" applyAlignment="1">
      <alignment horizontal="centerContinuous" vertical="center"/>
    </xf>
    <xf numFmtId="0" fontId="10" fillId="0" borderId="2" xfId="15" applyFont="1" applyBorder="1" applyAlignment="1" applyProtection="1">
      <alignment horizontal="centerContinuous" vertical="center"/>
    </xf>
    <xf numFmtId="182" fontId="10" fillId="0" borderId="2" xfId="15" applyNumberFormat="1" applyFont="1" applyBorder="1" applyAlignment="1">
      <alignment horizontal="centerContinuous" vertical="center"/>
    </xf>
    <xf numFmtId="0" fontId="10" fillId="0" borderId="0" xfId="15" quotePrefix="1" applyFont="1" applyBorder="1" applyAlignment="1" applyProtection="1">
      <alignment horizontal="center" vertical="center" wrapText="1"/>
    </xf>
    <xf numFmtId="0" fontId="10" fillId="0" borderId="2" xfId="13" applyFont="1" applyBorder="1" applyAlignment="1" applyProtection="1">
      <alignment horizontal="right" vertical="center"/>
    </xf>
    <xf numFmtId="0" fontId="10" fillId="0" borderId="0" xfId="15" applyFont="1" applyBorder="1" applyAlignment="1" applyProtection="1">
      <alignment horizontal="left" vertical="center"/>
    </xf>
    <xf numFmtId="1" fontId="10" fillId="0" borderId="0" xfId="15" applyNumberFormat="1" applyFont="1" applyBorder="1" applyAlignment="1" applyProtection="1">
      <alignment horizontal="right" vertical="center"/>
    </xf>
    <xf numFmtId="3" fontId="10" fillId="0" borderId="0" xfId="15" applyNumberFormat="1" applyFont="1" applyBorder="1" applyAlignment="1" applyProtection="1">
      <alignment horizontal="right" vertical="center"/>
    </xf>
    <xf numFmtId="0" fontId="11" fillId="0" borderId="0" xfId="15" applyFont="1" applyBorder="1" applyAlignment="1" applyProtection="1">
      <alignment horizontal="left" vertical="center"/>
    </xf>
    <xf numFmtId="1" fontId="11" fillId="0" borderId="0" xfId="15" applyNumberFormat="1" applyFont="1" applyAlignment="1" applyProtection="1">
      <alignment horizontal="right" vertical="center"/>
    </xf>
    <xf numFmtId="3" fontId="11" fillId="0" borderId="0" xfId="15" applyNumberFormat="1" applyFont="1" applyAlignment="1" applyProtection="1">
      <alignment horizontal="right" vertical="center"/>
    </xf>
    <xf numFmtId="3" fontId="11" fillId="0" borderId="0" xfId="15" applyNumberFormat="1" applyFont="1" applyBorder="1" applyAlignment="1" applyProtection="1">
      <alignment horizontal="right" vertical="center"/>
    </xf>
    <xf numFmtId="0" fontId="11" fillId="0" borderId="0" xfId="15" applyFont="1" applyBorder="1" applyAlignment="1" applyProtection="1">
      <alignment horizontal="left" vertical="center" indent="1"/>
    </xf>
    <xf numFmtId="0" fontId="11" fillId="0" borderId="0" xfId="15" applyFont="1" applyBorder="1" applyAlignment="1" applyProtection="1">
      <alignment horizontal="left" vertical="center" indent="2"/>
    </xf>
    <xf numFmtId="3" fontId="11" fillId="0" borderId="0" xfId="15" applyNumberFormat="1" applyFont="1" applyAlignment="1">
      <alignment horizontal="right" vertical="center"/>
    </xf>
    <xf numFmtId="0" fontId="11" fillId="0" borderId="0" xfId="15" applyFont="1" applyBorder="1" applyAlignment="1" applyProtection="1">
      <alignment horizontal="left" vertical="center" indent="3"/>
    </xf>
    <xf numFmtId="1" fontId="11" fillId="0" borderId="0" xfId="14" applyNumberFormat="1" applyFont="1" applyAlignment="1">
      <alignment horizontal="right" vertical="center"/>
    </xf>
    <xf numFmtId="1" fontId="11" fillId="0" borderId="0" xfId="14" applyNumberFormat="1" applyFont="1" applyAlignment="1">
      <alignment vertical="center"/>
    </xf>
    <xf numFmtId="3" fontId="11" fillId="0" borderId="0" xfId="14" applyNumberFormat="1" applyFont="1" applyAlignment="1">
      <alignment vertical="center"/>
    </xf>
    <xf numFmtId="3" fontId="11" fillId="0" borderId="0" xfId="14" applyNumberFormat="1" applyFont="1" applyAlignment="1">
      <alignment horizontal="right" vertical="center"/>
    </xf>
    <xf numFmtId="1" fontId="11" fillId="0" borderId="0" xfId="15" applyNumberFormat="1" applyFont="1" applyBorder="1" applyAlignment="1" applyProtection="1">
      <alignment horizontal="right" vertical="center"/>
    </xf>
    <xf numFmtId="3" fontId="11" fillId="0" borderId="0" xfId="15" applyNumberFormat="1" applyFont="1" applyBorder="1" applyAlignment="1">
      <alignment horizontal="right" vertical="center"/>
    </xf>
    <xf numFmtId="0" fontId="5" fillId="0" borderId="0" xfId="15" applyFont="1" applyBorder="1" applyAlignment="1" applyProtection="1">
      <alignment horizontal="left" indent="1"/>
    </xf>
    <xf numFmtId="1" fontId="5" fillId="0" borderId="0" xfId="15" applyNumberFormat="1" applyFont="1" applyBorder="1" applyAlignment="1" applyProtection="1">
      <alignment horizontal="right"/>
    </xf>
    <xf numFmtId="1" fontId="5" fillId="0" borderId="0" xfId="15" applyNumberFormat="1" applyFont="1" applyBorder="1" applyAlignment="1">
      <alignment horizontal="right"/>
    </xf>
    <xf numFmtId="0" fontId="13" fillId="0" borderId="2" xfId="5" applyFont="1" applyBorder="1" applyAlignment="1" applyProtection="1">
      <alignment horizontal="left"/>
    </xf>
    <xf numFmtId="0" fontId="5" fillId="0" borderId="2" xfId="15" applyFont="1" applyBorder="1"/>
    <xf numFmtId="185" fontId="5" fillId="0" borderId="2" xfId="15" applyNumberFormat="1" applyFont="1" applyBorder="1" applyProtection="1"/>
    <xf numFmtId="182" fontId="5" fillId="0" borderId="2" xfId="15" applyNumberFormat="1" applyFont="1" applyBorder="1"/>
    <xf numFmtId="0" fontId="5" fillId="0" borderId="2" xfId="14" applyFont="1" applyBorder="1"/>
    <xf numFmtId="0" fontId="3" fillId="0" borderId="0" xfId="16" applyFont="1" applyAlignment="1" applyProtection="1">
      <alignment horizontal="left"/>
    </xf>
    <xf numFmtId="0" fontId="5" fillId="0" borderId="0" xfId="16" applyFont="1"/>
    <xf numFmtId="0" fontId="7" fillId="0" borderId="0" xfId="16" applyFont="1" applyAlignment="1" applyProtection="1">
      <alignment horizontal="left"/>
    </xf>
    <xf numFmtId="49" fontId="7" fillId="0" borderId="0" xfId="16" applyNumberFormat="1" applyFont="1" applyAlignment="1" applyProtection="1">
      <alignment horizontal="left"/>
    </xf>
    <xf numFmtId="0" fontId="19" fillId="0" borderId="0" xfId="16" applyFont="1" applyAlignment="1">
      <alignment horizontal="centerContinuous"/>
    </xf>
    <xf numFmtId="0" fontId="21" fillId="0" borderId="0" xfId="16" applyFont="1" applyAlignment="1">
      <alignment horizontal="centerContinuous"/>
    </xf>
    <xf numFmtId="0" fontId="5" fillId="0" borderId="0" xfId="16" applyFont="1" applyAlignment="1">
      <alignment horizontal="centerContinuous"/>
    </xf>
    <xf numFmtId="49" fontId="22" fillId="0" borderId="0" xfId="16" applyNumberFormat="1" applyFont="1" applyAlignment="1" applyProtection="1">
      <alignment horizontal="left"/>
    </xf>
    <xf numFmtId="0" fontId="10" fillId="0" borderId="1" xfId="16" applyFont="1" applyBorder="1" applyAlignment="1" applyProtection="1">
      <alignment horizontal="center" vertical="center"/>
    </xf>
    <xf numFmtId="0" fontId="10" fillId="0" borderId="2" xfId="16" applyFont="1" applyBorder="1" applyAlignment="1" applyProtection="1">
      <alignment horizontal="centerContinuous" vertical="center"/>
    </xf>
    <xf numFmtId="0" fontId="10" fillId="0" borderId="2" xfId="16" applyFont="1" applyBorder="1" applyAlignment="1">
      <alignment horizontal="centerContinuous" vertical="center"/>
    </xf>
    <xf numFmtId="0" fontId="11" fillId="0" borderId="3" xfId="0" applyFont="1" applyBorder="1" applyAlignment="1">
      <alignment vertical="center"/>
    </xf>
    <xf numFmtId="0" fontId="10" fillId="0" borderId="2" xfId="16" applyFont="1" applyBorder="1" applyAlignment="1" applyProtection="1">
      <alignment horizontal="right" vertical="center"/>
    </xf>
    <xf numFmtId="0" fontId="11" fillId="0" borderId="3" xfId="0" applyFont="1" applyBorder="1" applyAlignment="1"/>
    <xf numFmtId="3" fontId="11" fillId="0" borderId="0" xfId="16" applyNumberFormat="1" applyFont="1" applyBorder="1" applyAlignment="1" applyProtection="1">
      <alignment horizontal="right"/>
    </xf>
    <xf numFmtId="0" fontId="11" fillId="0" borderId="3" xfId="16" applyFont="1" applyBorder="1" applyAlignment="1" applyProtection="1">
      <alignment horizontal="left"/>
    </xf>
    <xf numFmtId="3" fontId="11" fillId="0" borderId="0" xfId="16" applyNumberFormat="1" applyFont="1" applyAlignment="1" applyProtection="1">
      <alignment horizontal="right"/>
    </xf>
    <xf numFmtId="3" fontId="11" fillId="0" borderId="0" xfId="16" applyNumberFormat="1" applyFont="1" applyAlignment="1">
      <alignment horizontal="right"/>
    </xf>
    <xf numFmtId="3" fontId="11" fillId="0" borderId="0" xfId="1" applyNumberFormat="1" applyFont="1" applyAlignment="1" applyProtection="1">
      <alignment horizontal="right"/>
    </xf>
    <xf numFmtId="0" fontId="10" fillId="0" borderId="3" xfId="16" applyFont="1" applyBorder="1" applyAlignment="1" applyProtection="1">
      <alignment horizontal="left"/>
    </xf>
    <xf numFmtId="3" fontId="10" fillId="0" borderId="0" xfId="16" applyNumberFormat="1" applyFont="1" applyAlignment="1" applyProtection="1">
      <alignment horizontal="right"/>
    </xf>
    <xf numFmtId="3" fontId="11" fillId="0" borderId="0" xfId="16" applyNumberFormat="1" applyFont="1" applyBorder="1" applyAlignment="1">
      <alignment horizontal="right"/>
    </xf>
    <xf numFmtId="0" fontId="5" fillId="0" borderId="6" xfId="16" applyFont="1" applyBorder="1" applyAlignment="1" applyProtection="1">
      <alignment horizontal="left"/>
    </xf>
    <xf numFmtId="1" fontId="5" fillId="0" borderId="0" xfId="16" applyNumberFormat="1" applyFont="1" applyBorder="1" applyAlignment="1" applyProtection="1">
      <alignment horizontal="right"/>
    </xf>
    <xf numFmtId="1" fontId="5" fillId="0" borderId="0" xfId="16" applyNumberFormat="1" applyFont="1" applyBorder="1" applyAlignment="1">
      <alignment horizontal="right"/>
    </xf>
    <xf numFmtId="185" fontId="5" fillId="0" borderId="2" xfId="16" applyNumberFormat="1" applyFont="1" applyBorder="1" applyAlignment="1" applyProtection="1">
      <alignment horizontal="center"/>
    </xf>
    <xf numFmtId="0" fontId="5" fillId="0" borderId="2" xfId="16" applyFont="1" applyBorder="1" applyAlignment="1">
      <alignment horizontal="center"/>
    </xf>
    <xf numFmtId="0" fontId="5" fillId="0" borderId="2" xfId="16" applyFont="1" applyBorder="1"/>
    <xf numFmtId="0" fontId="23" fillId="0" borderId="0" xfId="17" quotePrefix="1" applyFont="1" applyAlignment="1" applyProtection="1">
      <alignment horizontal="left" vertical="center"/>
    </xf>
    <xf numFmtId="49" fontId="7" fillId="0" borderId="0" xfId="17" applyNumberFormat="1" applyFont="1" applyAlignment="1" applyProtection="1">
      <alignment horizontal="left"/>
    </xf>
    <xf numFmtId="0" fontId="19" fillId="0" borderId="0" xfId="17" applyFont="1" applyAlignment="1">
      <alignment horizontal="centerContinuous"/>
    </xf>
    <xf numFmtId="0" fontId="5" fillId="0" borderId="0" xfId="17" applyFont="1" applyAlignment="1">
      <alignment horizontal="centerContinuous"/>
    </xf>
    <xf numFmtId="0" fontId="5" fillId="0" borderId="0" xfId="17" applyFont="1"/>
    <xf numFmtId="49" fontId="22" fillId="0" borderId="0" xfId="17" applyNumberFormat="1" applyFont="1" applyAlignment="1" applyProtection="1">
      <alignment horizontal="left"/>
    </xf>
    <xf numFmtId="0" fontId="10" fillId="0" borderId="1" xfId="17" applyFont="1" applyBorder="1" applyAlignment="1" applyProtection="1">
      <alignment horizontal="center" vertical="center"/>
    </xf>
    <xf numFmtId="0" fontId="10" fillId="0" borderId="2" xfId="17" applyFont="1" applyBorder="1" applyAlignment="1" applyProtection="1">
      <alignment horizontal="centerContinuous" vertical="center"/>
    </xf>
    <xf numFmtId="0" fontId="24" fillId="0" borderId="2" xfId="17" applyFont="1" applyBorder="1" applyAlignment="1">
      <alignment horizontal="centerContinuous" vertical="center"/>
    </xf>
    <xf numFmtId="0" fontId="24" fillId="0" borderId="2" xfId="17" applyFont="1" applyBorder="1" applyAlignment="1" applyProtection="1">
      <alignment horizontal="centerContinuous" vertical="center"/>
    </xf>
    <xf numFmtId="0" fontId="17" fillId="0" borderId="3" xfId="0" applyFont="1" applyBorder="1" applyAlignment="1">
      <alignment vertical="center"/>
    </xf>
    <xf numFmtId="0" fontId="10" fillId="0" borderId="2" xfId="17" applyFont="1" applyBorder="1" applyAlignment="1" applyProtection="1">
      <alignment horizontal="right" vertical="center"/>
    </xf>
    <xf numFmtId="1" fontId="11" fillId="0" borderId="3" xfId="17" applyNumberFormat="1" applyFont="1" applyBorder="1" applyAlignment="1" applyProtection="1">
      <alignment horizontal="left"/>
    </xf>
    <xf numFmtId="3" fontId="11" fillId="0" borderId="0" xfId="17" applyNumberFormat="1" applyFont="1" applyAlignment="1" applyProtection="1">
      <alignment horizontal="right"/>
    </xf>
    <xf numFmtId="3" fontId="11" fillId="0" borderId="0" xfId="17" applyNumberFormat="1" applyFont="1" applyBorder="1" applyAlignment="1" applyProtection="1">
      <alignment horizontal="right"/>
    </xf>
    <xf numFmtId="3" fontId="11" fillId="0" borderId="0" xfId="17" applyNumberFormat="1" applyFont="1" applyBorder="1" applyAlignment="1">
      <alignment horizontal="right"/>
    </xf>
    <xf numFmtId="3" fontId="11" fillId="0" borderId="0" xfId="17" applyNumberFormat="1" applyFont="1" applyAlignment="1">
      <alignment horizontal="right"/>
    </xf>
    <xf numFmtId="1" fontId="10" fillId="0" borderId="3" xfId="17" applyNumberFormat="1" applyFont="1" applyBorder="1" applyAlignment="1" applyProtection="1">
      <alignment horizontal="left"/>
    </xf>
    <xf numFmtId="3" fontId="10" fillId="0" borderId="0" xfId="17" applyNumberFormat="1" applyFont="1" applyAlignment="1" applyProtection="1">
      <alignment horizontal="right"/>
    </xf>
    <xf numFmtId="1" fontId="5" fillId="0" borderId="6" xfId="17" applyNumberFormat="1" applyFont="1" applyBorder="1" applyAlignment="1" applyProtection="1">
      <alignment horizontal="left"/>
    </xf>
    <xf numFmtId="1" fontId="18" fillId="0" borderId="0" xfId="17" applyNumberFormat="1" applyFont="1" applyBorder="1" applyAlignment="1" applyProtection="1">
      <alignment horizontal="right"/>
    </xf>
    <xf numFmtId="1" fontId="18" fillId="0" borderId="0" xfId="17" applyNumberFormat="1" applyFont="1" applyBorder="1" applyAlignment="1">
      <alignment horizontal="right"/>
    </xf>
    <xf numFmtId="1" fontId="5" fillId="0" borderId="0" xfId="17" applyNumberFormat="1" applyFont="1" applyBorder="1" applyAlignment="1">
      <alignment horizontal="right"/>
    </xf>
    <xf numFmtId="1" fontId="12" fillId="0" borderId="2" xfId="17" applyNumberFormat="1" applyFont="1" applyBorder="1" applyAlignment="1" applyProtection="1">
      <alignment horizontal="left"/>
    </xf>
    <xf numFmtId="1" fontId="18" fillId="0" borderId="2" xfId="17" applyNumberFormat="1" applyFont="1" applyBorder="1" applyAlignment="1" applyProtection="1">
      <alignment horizontal="left"/>
    </xf>
    <xf numFmtId="1" fontId="18" fillId="0" borderId="2" xfId="17" applyNumberFormat="1" applyFont="1" applyBorder="1" applyAlignment="1">
      <alignment horizontal="left"/>
    </xf>
    <xf numFmtId="1" fontId="5" fillId="0" borderId="2" xfId="17" applyNumberFormat="1" applyFont="1" applyBorder="1" applyAlignment="1">
      <alignment horizontal="left"/>
    </xf>
    <xf numFmtId="0" fontId="5" fillId="0" borderId="2" xfId="17" applyFont="1" applyBorder="1" applyAlignment="1">
      <alignment horizontal="left"/>
    </xf>
    <xf numFmtId="1" fontId="12" fillId="0" borderId="0" xfId="17" applyNumberFormat="1" applyFont="1" applyBorder="1" applyAlignment="1" applyProtection="1">
      <alignment horizontal="left"/>
    </xf>
    <xf numFmtId="1" fontId="15" fillId="0" borderId="0" xfId="17" applyNumberFormat="1" applyFont="1" applyBorder="1" applyAlignment="1" applyProtection="1">
      <alignment horizontal="left"/>
    </xf>
    <xf numFmtId="0" fontId="5" fillId="0" borderId="0" xfId="17" applyFont="1" applyAlignment="1">
      <alignment horizontal="left"/>
    </xf>
    <xf numFmtId="0" fontId="12" fillId="0" borderId="0" xfId="17" quotePrefix="1" applyFont="1" applyAlignment="1" applyProtection="1">
      <alignment horizontal="left"/>
    </xf>
    <xf numFmtId="0" fontId="20" fillId="0" borderId="0" xfId="17" applyFont="1"/>
    <xf numFmtId="0" fontId="5" fillId="0" borderId="0" xfId="17" applyFont="1" applyBorder="1"/>
    <xf numFmtId="0" fontId="5" fillId="0" borderId="2" xfId="17" applyFont="1" applyBorder="1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3" fillId="0" borderId="0" xfId="0" applyFont="1" applyAlignment="1" applyProtection="1">
      <alignment horizontal="left"/>
    </xf>
    <xf numFmtId="0" fontId="25" fillId="0" borderId="0" xfId="0" applyFont="1" applyAlignment="1" applyProtection="1">
      <alignment horizontal="left"/>
    </xf>
    <xf numFmtId="0" fontId="11" fillId="0" borderId="0" xfId="0" applyFont="1"/>
    <xf numFmtId="0" fontId="7" fillId="0" borderId="0" xfId="0" applyFont="1" applyAlignment="1" applyProtection="1">
      <alignment horizontal="left"/>
    </xf>
    <xf numFmtId="0" fontId="26" fillId="0" borderId="0" xfId="0" applyFont="1" applyAlignment="1" applyProtection="1">
      <alignment horizontal="left"/>
    </xf>
    <xf numFmtId="0" fontId="26" fillId="0" borderId="0" xfId="0" applyFont="1" applyAlignment="1" applyProtection="1"/>
    <xf numFmtId="0" fontId="26" fillId="0" borderId="0" xfId="0" quotePrefix="1" applyFont="1" applyAlignment="1" applyProtection="1">
      <alignment horizontal="left"/>
    </xf>
    <xf numFmtId="0" fontId="10" fillId="0" borderId="1" xfId="0" applyFont="1" applyBorder="1" applyAlignment="1" applyProtection="1">
      <alignment horizontal="center" vertical="center"/>
    </xf>
    <xf numFmtId="0" fontId="10" fillId="0" borderId="2" xfId="0" applyFont="1" applyBorder="1" applyAlignment="1" applyProtection="1">
      <alignment horizontal="right" vertical="center"/>
    </xf>
    <xf numFmtId="49" fontId="10" fillId="0" borderId="2" xfId="0" applyNumberFormat="1" applyFont="1" applyBorder="1" applyAlignment="1" applyProtection="1">
      <alignment horizontal="right" vertical="center"/>
    </xf>
    <xf numFmtId="0" fontId="10" fillId="0" borderId="3" xfId="0" applyFont="1" applyBorder="1" applyAlignment="1" applyProtection="1">
      <alignment horizontal="center"/>
    </xf>
    <xf numFmtId="0" fontId="10" fillId="0" borderId="3" xfId="0" applyFont="1" applyBorder="1" applyAlignment="1" applyProtection="1">
      <alignment horizontal="left"/>
    </xf>
    <xf numFmtId="1" fontId="10" fillId="0" borderId="0" xfId="0" applyNumberFormat="1" applyFont="1" applyAlignment="1" applyProtection="1">
      <alignment horizontal="right"/>
    </xf>
    <xf numFmtId="3" fontId="10" fillId="0" borderId="0" xfId="0" applyNumberFormat="1" applyFont="1" applyAlignment="1" applyProtection="1">
      <alignment horizontal="right"/>
    </xf>
    <xf numFmtId="0" fontId="11" fillId="0" borderId="3" xfId="0" applyFont="1" applyBorder="1" applyAlignment="1" applyProtection="1">
      <alignment horizontal="left"/>
    </xf>
    <xf numFmtId="1" fontId="10" fillId="0" borderId="0" xfId="0" applyNumberFormat="1" applyFont="1" applyBorder="1" applyAlignment="1" applyProtection="1">
      <alignment horizontal="right"/>
    </xf>
    <xf numFmtId="3" fontId="10" fillId="0" borderId="0" xfId="0" applyNumberFormat="1" applyFont="1" applyBorder="1" applyAlignment="1" applyProtection="1">
      <alignment horizontal="right"/>
    </xf>
    <xf numFmtId="1" fontId="11" fillId="0" borderId="0" xfId="0" applyNumberFormat="1" applyFont="1" applyAlignment="1" applyProtection="1">
      <alignment horizontal="right"/>
    </xf>
    <xf numFmtId="3" fontId="11" fillId="0" borderId="0" xfId="0" applyNumberFormat="1" applyFont="1" applyAlignment="1" applyProtection="1">
      <alignment horizontal="right"/>
    </xf>
    <xf numFmtId="3" fontId="11" fillId="0" borderId="0" xfId="0" applyNumberFormat="1" applyFont="1" applyBorder="1" applyAlignment="1" applyProtection="1">
      <alignment horizontal="right"/>
    </xf>
    <xf numFmtId="1" fontId="11" fillId="0" borderId="0" xfId="0" applyNumberFormat="1" applyFont="1" applyAlignment="1">
      <alignment horizontal="right"/>
    </xf>
    <xf numFmtId="3" fontId="11" fillId="0" borderId="0" xfId="0" applyNumberFormat="1" applyFont="1" applyBorder="1" applyAlignment="1">
      <alignment horizontal="right"/>
    </xf>
    <xf numFmtId="1" fontId="11" fillId="0" borderId="0" xfId="0" applyNumberFormat="1" applyFont="1" applyBorder="1" applyAlignment="1" applyProtection="1">
      <alignment horizontal="right"/>
    </xf>
    <xf numFmtId="0" fontId="15" fillId="0" borderId="6" xfId="0" applyFont="1" applyBorder="1" applyAlignment="1" applyProtection="1">
      <alignment horizontal="left"/>
    </xf>
    <xf numFmtId="49" fontId="12" fillId="0" borderId="2" xfId="0" applyNumberFormat="1" applyFont="1" applyBorder="1" applyAlignment="1" applyProtection="1">
      <alignment horizontal="left"/>
    </xf>
    <xf numFmtId="49" fontId="20" fillId="0" borderId="2" xfId="0" applyNumberFormat="1" applyFont="1" applyBorder="1" applyAlignment="1" applyProtection="1">
      <alignment horizontal="left"/>
    </xf>
    <xf numFmtId="1" fontId="5" fillId="0" borderId="2" xfId="0" applyNumberFormat="1" applyFont="1" applyBorder="1" applyAlignment="1" applyProtection="1"/>
    <xf numFmtId="1" fontId="5" fillId="0" borderId="2" xfId="0" applyNumberFormat="1" applyFont="1" applyBorder="1" applyAlignment="1" applyProtection="1">
      <alignment horizontal="right"/>
    </xf>
    <xf numFmtId="49" fontId="12" fillId="0" borderId="0" xfId="0" applyNumberFormat="1" applyFont="1" applyBorder="1" applyAlignment="1" applyProtection="1">
      <alignment horizontal="left"/>
    </xf>
    <xf numFmtId="49" fontId="20" fillId="0" borderId="0" xfId="0" applyNumberFormat="1" applyFont="1" applyBorder="1" applyAlignment="1" applyProtection="1">
      <alignment horizontal="left"/>
    </xf>
    <xf numFmtId="0" fontId="5" fillId="0" borderId="0" xfId="0" applyFont="1"/>
    <xf numFmtId="0" fontId="5" fillId="0" borderId="0" xfId="0" applyFont="1" applyAlignment="1">
      <alignment horizontal="centerContinuous"/>
    </xf>
    <xf numFmtId="0" fontId="13" fillId="0" borderId="0" xfId="0" applyFont="1" applyAlignment="1" applyProtection="1">
      <alignment horizontal="left"/>
    </xf>
    <xf numFmtId="0" fontId="27" fillId="0" borderId="0" xfId="0" applyFont="1" applyAlignment="1" applyProtection="1">
      <alignment horizontal="left"/>
    </xf>
    <xf numFmtId="49" fontId="7" fillId="0" borderId="0" xfId="5" applyNumberFormat="1" applyFont="1" applyAlignment="1" applyProtection="1">
      <alignment horizontal="left"/>
    </xf>
    <xf numFmtId="0" fontId="28" fillId="0" borderId="0" xfId="6" applyFont="1" applyAlignment="1">
      <alignment horizontal="centerContinuous"/>
    </xf>
    <xf numFmtId="0" fontId="11" fillId="0" borderId="0" xfId="6" applyFont="1"/>
    <xf numFmtId="49" fontId="3" fillId="0" borderId="0" xfId="5" applyNumberFormat="1" applyFont="1" applyAlignment="1" applyProtection="1">
      <alignment horizontal="left"/>
    </xf>
    <xf numFmtId="1" fontId="11" fillId="0" borderId="0" xfId="6" applyNumberFormat="1" applyFont="1" applyBorder="1" applyAlignment="1" applyProtection="1">
      <alignment horizontal="right"/>
    </xf>
    <xf numFmtId="3" fontId="11" fillId="0" borderId="0" xfId="6" applyNumberFormat="1" applyFont="1" applyBorder="1" applyAlignment="1" applyProtection="1">
      <alignment horizontal="right"/>
    </xf>
    <xf numFmtId="3" fontId="11" fillId="0" borderId="0" xfId="6" quotePrefix="1" applyNumberFormat="1" applyFont="1" applyBorder="1" applyAlignment="1" applyProtection="1">
      <alignment horizontal="right"/>
    </xf>
    <xf numFmtId="3" fontId="11" fillId="0" borderId="0" xfId="6" applyNumberFormat="1" applyFont="1"/>
    <xf numFmtId="0" fontId="11" fillId="0" borderId="3" xfId="6" applyFont="1" applyBorder="1" applyAlignment="1" applyProtection="1">
      <alignment horizontal="left"/>
    </xf>
    <xf numFmtId="1" fontId="11" fillId="0" borderId="0" xfId="6" applyNumberFormat="1" applyFont="1" applyAlignment="1" applyProtection="1">
      <alignment horizontal="right"/>
    </xf>
    <xf numFmtId="3" fontId="11" fillId="0" borderId="0" xfId="6" applyNumberFormat="1" applyFont="1" applyAlignment="1" applyProtection="1">
      <alignment horizontal="right"/>
    </xf>
    <xf numFmtId="3" fontId="11" fillId="0" borderId="0" xfId="6" applyNumberFormat="1" applyFont="1" applyAlignment="1">
      <alignment horizontal="right"/>
    </xf>
    <xf numFmtId="0" fontId="10" fillId="0" borderId="3" xfId="6" applyFont="1" applyBorder="1" applyAlignment="1" applyProtection="1">
      <alignment horizontal="left"/>
    </xf>
    <xf numFmtId="1" fontId="10" fillId="0" borderId="0" xfId="6" applyNumberFormat="1" applyFont="1" applyAlignment="1" applyProtection="1">
      <alignment horizontal="right"/>
    </xf>
    <xf numFmtId="3" fontId="10" fillId="0" borderId="0" xfId="6" applyNumberFormat="1" applyFont="1" applyAlignment="1" applyProtection="1">
      <alignment horizontal="right"/>
    </xf>
    <xf numFmtId="3" fontId="10" fillId="0" borderId="0" xfId="6" applyNumberFormat="1" applyFont="1" applyBorder="1" applyAlignment="1" applyProtection="1">
      <alignment horizontal="right"/>
    </xf>
    <xf numFmtId="3" fontId="10" fillId="0" borderId="0" xfId="6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3" fontId="11" fillId="0" borderId="0" xfId="6" applyNumberFormat="1" applyFont="1" applyBorder="1" applyAlignment="1">
      <alignment horizontal="right"/>
    </xf>
    <xf numFmtId="0" fontId="11" fillId="0" borderId="6" xfId="5" applyFont="1" applyBorder="1" applyAlignment="1" applyProtection="1">
      <alignment horizontal="left"/>
    </xf>
    <xf numFmtId="0" fontId="12" fillId="0" borderId="2" xfId="5" applyFont="1" applyBorder="1" applyAlignment="1" applyProtection="1">
      <alignment horizontal="left"/>
    </xf>
    <xf numFmtId="1" fontId="11" fillId="0" borderId="2" xfId="6" applyNumberFormat="1" applyFont="1" applyBorder="1" applyAlignment="1" applyProtection="1">
      <alignment horizontal="right"/>
    </xf>
    <xf numFmtId="1" fontId="11" fillId="0" borderId="2" xfId="6" applyNumberFormat="1" applyFont="1" applyBorder="1" applyAlignment="1">
      <alignment horizontal="right"/>
    </xf>
    <xf numFmtId="0" fontId="12" fillId="0" borderId="0" xfId="5" quotePrefix="1" applyFont="1" applyBorder="1" applyAlignment="1" applyProtection="1">
      <alignment horizontal="left"/>
    </xf>
    <xf numFmtId="1" fontId="11" fillId="0" borderId="0" xfId="6" applyNumberFormat="1" applyFont="1" applyBorder="1" applyAlignment="1">
      <alignment horizontal="right"/>
    </xf>
    <xf numFmtId="0" fontId="28" fillId="0" borderId="0" xfId="7" applyFont="1" applyBorder="1" applyAlignment="1">
      <alignment horizontal="centerContinuous"/>
    </xf>
    <xf numFmtId="0" fontId="28" fillId="0" borderId="0" xfId="7" applyFont="1" applyBorder="1"/>
    <xf numFmtId="0" fontId="11" fillId="0" borderId="0" xfId="6" applyFont="1" applyBorder="1"/>
    <xf numFmtId="0" fontId="28" fillId="0" borderId="0" xfId="8" applyFont="1" applyAlignment="1">
      <alignment horizontal="centerContinuous"/>
    </xf>
    <xf numFmtId="0" fontId="11" fillId="0" borderId="0" xfId="8" applyFont="1"/>
    <xf numFmtId="1" fontId="11" fillId="0" borderId="0" xfId="8" applyNumberFormat="1" applyFont="1" applyAlignment="1">
      <alignment horizontal="right"/>
    </xf>
    <xf numFmtId="3" fontId="11" fillId="0" borderId="0" xfId="8" applyNumberFormat="1" applyFont="1" applyAlignment="1">
      <alignment horizontal="right"/>
    </xf>
    <xf numFmtId="1" fontId="11" fillId="0" borderId="0" xfId="8" applyNumberFormat="1" applyFont="1" applyAlignment="1" applyProtection="1">
      <alignment horizontal="right"/>
    </xf>
    <xf numFmtId="3" fontId="11" fillId="0" borderId="0" xfId="8" applyNumberFormat="1" applyFont="1" applyAlignment="1" applyProtection="1">
      <alignment horizontal="right"/>
    </xf>
    <xf numFmtId="1" fontId="10" fillId="0" borderId="0" xfId="8" applyNumberFormat="1" applyFont="1" applyAlignment="1">
      <alignment horizontal="right"/>
    </xf>
    <xf numFmtId="3" fontId="10" fillId="0" borderId="0" xfId="8" applyNumberFormat="1" applyFont="1" applyAlignment="1">
      <alignment horizontal="right"/>
    </xf>
    <xf numFmtId="1" fontId="10" fillId="0" borderId="0" xfId="8" applyNumberFormat="1" applyFont="1" applyAlignment="1" applyProtection="1">
      <alignment horizontal="right"/>
    </xf>
    <xf numFmtId="3" fontId="10" fillId="0" borderId="0" xfId="8" applyNumberFormat="1" applyFont="1" applyAlignment="1" applyProtection="1">
      <alignment horizontal="right"/>
    </xf>
    <xf numFmtId="0" fontId="11" fillId="0" borderId="6" xfId="8" applyFont="1" applyBorder="1" applyAlignment="1" applyProtection="1">
      <alignment horizontal="left"/>
    </xf>
    <xf numFmtId="1" fontId="11" fillId="0" borderId="0" xfId="0" applyNumberFormat="1" applyFont="1" applyBorder="1" applyAlignment="1">
      <alignment horizontal="right"/>
    </xf>
    <xf numFmtId="1" fontId="11" fillId="0" borderId="2" xfId="0" applyNumberFormat="1" applyFont="1" applyBorder="1" applyAlignment="1">
      <alignment horizontal="right"/>
    </xf>
    <xf numFmtId="1" fontId="11" fillId="0" borderId="2" xfId="8" applyNumberFormat="1" applyFont="1" applyBorder="1" applyAlignment="1">
      <alignment horizontal="right"/>
    </xf>
    <xf numFmtId="0" fontId="12" fillId="0" borderId="0" xfId="8" quotePrefix="1" applyFont="1" applyAlignment="1" applyProtection="1">
      <alignment horizontal="left"/>
    </xf>
    <xf numFmtId="1" fontId="11" fillId="0" borderId="0" xfId="8" applyNumberFormat="1" applyFont="1" applyAlignment="1">
      <alignment horizontal="center"/>
    </xf>
    <xf numFmtId="1" fontId="28" fillId="0" borderId="0" xfId="7" applyNumberFormat="1" applyFont="1" applyBorder="1" applyAlignment="1">
      <alignment horizontal="centerContinuous"/>
    </xf>
    <xf numFmtId="2" fontId="0" fillId="0" borderId="0" xfId="0" applyNumberFormat="1"/>
    <xf numFmtId="0" fontId="10" fillId="2" borderId="2" xfId="0" applyFont="1" applyFill="1" applyBorder="1" applyAlignment="1" applyProtection="1">
      <alignment horizontal="right" vertical="center"/>
    </xf>
    <xf numFmtId="3" fontId="10" fillId="2" borderId="0" xfId="0" applyNumberFormat="1" applyFont="1" applyFill="1" applyAlignment="1" applyProtection="1">
      <alignment horizontal="right"/>
    </xf>
    <xf numFmtId="3" fontId="10" fillId="2" borderId="0" xfId="0" applyNumberFormat="1" applyFont="1" applyFill="1" applyBorder="1" applyAlignment="1" applyProtection="1">
      <alignment horizontal="right"/>
    </xf>
    <xf numFmtId="3" fontId="11" fillId="2" borderId="0" xfId="0" applyNumberFormat="1" applyFont="1" applyFill="1" applyAlignment="1" applyProtection="1">
      <alignment horizontal="right"/>
    </xf>
    <xf numFmtId="3" fontId="11" fillId="2" borderId="0" xfId="0" applyNumberFormat="1" applyFont="1" applyFill="1" applyBorder="1" applyAlignment="1" applyProtection="1">
      <alignment horizontal="right"/>
    </xf>
    <xf numFmtId="1" fontId="5" fillId="2" borderId="2" xfId="0" applyNumberFormat="1" applyFont="1" applyFill="1" applyBorder="1" applyAlignment="1" applyProtection="1"/>
    <xf numFmtId="0" fontId="5" fillId="2" borderId="0" xfId="0" applyFont="1" applyFill="1"/>
    <xf numFmtId="0" fontId="0" fillId="2" borderId="0" xfId="0" applyFill="1"/>
    <xf numFmtId="2" fontId="0" fillId="2" borderId="0" xfId="0" applyNumberFormat="1" applyFill="1"/>
    <xf numFmtId="0" fontId="5" fillId="2" borderId="3" xfId="12" applyFont="1" applyFill="1" applyBorder="1" applyAlignment="1" applyProtection="1">
      <alignment horizontal="left"/>
    </xf>
    <xf numFmtId="3" fontId="11" fillId="2" borderId="0" xfId="10" applyNumberFormat="1" applyFont="1" applyFill="1" applyAlignment="1" applyProtection="1">
      <alignment horizontal="right"/>
    </xf>
    <xf numFmtId="3" fontId="11" fillId="2" borderId="0" xfId="12" applyNumberFormat="1" applyFont="1" applyFill="1" applyAlignment="1" applyProtection="1">
      <alignment horizontal="right"/>
    </xf>
    <xf numFmtId="182" fontId="11" fillId="2" borderId="0" xfId="12" applyNumberFormat="1" applyFont="1" applyFill="1" applyBorder="1" applyAlignment="1" applyProtection="1">
      <alignment horizontal="right"/>
    </xf>
    <xf numFmtId="183" fontId="11" fillId="2" borderId="0" xfId="12" applyNumberFormat="1" applyFont="1" applyFill="1" applyBorder="1" applyAlignment="1" applyProtection="1">
      <alignment horizontal="right"/>
    </xf>
    <xf numFmtId="3" fontId="11" fillId="2" borderId="0" xfId="0" applyNumberFormat="1" applyFont="1" applyFill="1" applyBorder="1" applyAlignment="1">
      <alignment horizontal="right"/>
    </xf>
    <xf numFmtId="2" fontId="29" fillId="0" borderId="0" xfId="0" applyNumberFormat="1" applyFont="1"/>
    <xf numFmtId="0" fontId="10" fillId="2" borderId="2" xfId="6" applyFont="1" applyFill="1" applyBorder="1" applyAlignment="1" applyProtection="1">
      <alignment horizontal="right" vertical="center"/>
    </xf>
    <xf numFmtId="3" fontId="11" fillId="2" borderId="0" xfId="6" applyNumberFormat="1" applyFont="1" applyFill="1" applyBorder="1" applyAlignment="1" applyProtection="1">
      <alignment horizontal="right"/>
    </xf>
    <xf numFmtId="3" fontId="11" fillId="2" borderId="0" xfId="6" applyNumberFormat="1" applyFont="1" applyFill="1"/>
    <xf numFmtId="3" fontId="11" fillId="2" borderId="0" xfId="6" applyNumberFormat="1" applyFont="1" applyFill="1" applyAlignment="1" applyProtection="1">
      <alignment horizontal="right"/>
    </xf>
    <xf numFmtId="3" fontId="10" fillId="2" borderId="0" xfId="6" applyNumberFormat="1" applyFont="1" applyFill="1" applyAlignment="1" applyProtection="1">
      <alignment horizontal="right"/>
    </xf>
    <xf numFmtId="1" fontId="11" fillId="2" borderId="2" xfId="0" applyNumberFormat="1" applyFont="1" applyFill="1" applyBorder="1" applyAlignment="1">
      <alignment horizontal="right"/>
    </xf>
    <xf numFmtId="1" fontId="11" fillId="2" borderId="0" xfId="8" applyNumberFormat="1" applyFont="1" applyFill="1" applyAlignment="1">
      <alignment horizontal="center"/>
    </xf>
    <xf numFmtId="0" fontId="11" fillId="2" borderId="0" xfId="6" applyFont="1" applyFill="1"/>
    <xf numFmtId="0" fontId="11" fillId="0" borderId="0" xfId="6" applyFont="1" applyFill="1" applyAlignment="1">
      <alignment horizontal="centerContinuous"/>
    </xf>
    <xf numFmtId="1" fontId="11" fillId="0" borderId="2" xfId="6" applyNumberFormat="1" applyFont="1" applyFill="1" applyBorder="1" applyAlignment="1" applyProtection="1">
      <alignment horizontal="right"/>
    </xf>
    <xf numFmtId="1" fontId="11" fillId="0" borderId="0" xfId="6" applyNumberFormat="1" applyFont="1" applyFill="1" applyBorder="1" applyAlignment="1" applyProtection="1">
      <alignment horizontal="right"/>
    </xf>
    <xf numFmtId="0" fontId="28" fillId="0" borderId="0" xfId="7" applyFont="1" applyFill="1" applyBorder="1" applyAlignment="1">
      <alignment horizontal="centerContinuous"/>
    </xf>
    <xf numFmtId="0" fontId="11" fillId="0" borderId="0" xfId="8" applyFont="1" applyFill="1"/>
    <xf numFmtId="186" fontId="0" fillId="2" borderId="0" xfId="0" applyNumberFormat="1" applyFill="1"/>
    <xf numFmtId="186" fontId="0" fillId="0" borderId="0" xfId="0" applyNumberFormat="1"/>
    <xf numFmtId="0" fontId="7" fillId="0" borderId="0" xfId="0" applyFont="1" applyAlignment="1">
      <alignment horizontal="left" vertical="center"/>
    </xf>
    <xf numFmtId="0" fontId="10" fillId="0" borderId="0" xfId="0" applyFont="1" applyAlignment="1" applyProtection="1"/>
    <xf numFmtId="0" fontId="10" fillId="0" borderId="1" xfId="0" applyFont="1" applyBorder="1" applyAlignment="1" applyProtection="1">
      <alignment horizontal="center"/>
    </xf>
    <xf numFmtId="0" fontId="10" fillId="0" borderId="5" xfId="0" applyFont="1" applyBorder="1" applyAlignment="1" applyProtection="1">
      <alignment horizontal="centerContinuous" vertical="center"/>
    </xf>
    <xf numFmtId="0" fontId="10" fillId="0" borderId="5" xfId="0" applyFont="1" applyBorder="1" applyAlignment="1" applyProtection="1">
      <alignment horizontal="centerContinuous"/>
    </xf>
    <xf numFmtId="0" fontId="10" fillId="0" borderId="5" xfId="0" applyFont="1" applyBorder="1" applyAlignment="1">
      <alignment horizontal="centerContinuous" vertical="center"/>
    </xf>
    <xf numFmtId="0" fontId="10" fillId="0" borderId="3" xfId="0" applyFont="1" applyBorder="1"/>
    <xf numFmtId="0" fontId="10" fillId="0" borderId="5" xfId="0" applyFont="1" applyBorder="1" applyAlignment="1" applyProtection="1">
      <alignment horizontal="right" vertical="center"/>
    </xf>
    <xf numFmtId="0" fontId="10" fillId="0" borderId="0" xfId="0" applyFont="1" applyBorder="1" applyAlignment="1" applyProtection="1">
      <alignment horizontal="right" vertical="center"/>
    </xf>
    <xf numFmtId="0" fontId="10" fillId="0" borderId="3" xfId="0" applyFont="1" applyBorder="1" applyAlignment="1" applyProtection="1">
      <alignment horizontal="left" vertical="center"/>
    </xf>
    <xf numFmtId="3" fontId="10" fillId="0" borderId="0" xfId="0" applyNumberFormat="1" applyFont="1" applyBorder="1" applyAlignment="1" applyProtection="1">
      <alignment horizontal="right" vertical="center"/>
    </xf>
    <xf numFmtId="0" fontId="11" fillId="0" borderId="3" xfId="0" applyFont="1" applyBorder="1" applyAlignment="1" applyProtection="1">
      <alignment horizontal="left" vertical="center"/>
    </xf>
    <xf numFmtId="3" fontId="11" fillId="0" borderId="0" xfId="0" applyNumberFormat="1" applyFont="1" applyBorder="1" applyAlignment="1" applyProtection="1">
      <alignment horizontal="right" vertical="center"/>
    </xf>
    <xf numFmtId="3" fontId="11" fillId="0" borderId="0" xfId="0" applyNumberFormat="1" applyFont="1" applyBorder="1" applyAlignment="1">
      <alignment horizontal="right" vertical="center"/>
    </xf>
    <xf numFmtId="3" fontId="11" fillId="0" borderId="0" xfId="0" applyNumberFormat="1" applyFont="1" applyFill="1" applyBorder="1" applyAlignment="1" applyProtection="1">
      <alignment horizontal="right" vertical="center"/>
    </xf>
    <xf numFmtId="3" fontId="10" fillId="0" borderId="0" xfId="0" applyNumberFormat="1" applyFont="1" applyBorder="1" applyAlignment="1">
      <alignment horizontal="right" vertical="center"/>
    </xf>
    <xf numFmtId="0" fontId="11" fillId="0" borderId="6" xfId="0" applyFont="1" applyBorder="1" applyAlignment="1" applyProtection="1">
      <alignment horizontal="left" vertical="center"/>
    </xf>
    <xf numFmtId="3" fontId="11" fillId="0" borderId="7" xfId="0" applyNumberFormat="1" applyFont="1" applyBorder="1" applyAlignment="1" applyProtection="1">
      <alignment horizontal="right" vertical="center"/>
    </xf>
    <xf numFmtId="0" fontId="12" fillId="0" borderId="0" xfId="0" applyFont="1" applyAlignment="1" applyProtection="1">
      <alignment horizontal="left"/>
    </xf>
    <xf numFmtId="0" fontId="30" fillId="0" borderId="0" xfId="0" applyFont="1" applyAlignment="1" applyProtection="1">
      <alignment horizontal="left"/>
    </xf>
    <xf numFmtId="0" fontId="12" fillId="0" borderId="0" xfId="0" applyFont="1"/>
    <xf numFmtId="49" fontId="13" fillId="0" borderId="0" xfId="0" applyNumberFormat="1" applyFont="1" applyBorder="1" applyAlignment="1" applyProtection="1">
      <alignment horizontal="left"/>
    </xf>
    <xf numFmtId="0" fontId="31" fillId="0" borderId="0" xfId="0" applyFont="1" applyAlignment="1" applyProtection="1">
      <alignment horizontal="left"/>
    </xf>
    <xf numFmtId="1" fontId="10" fillId="0" borderId="2" xfId="0" applyNumberFormat="1" applyFont="1" applyBorder="1" applyAlignment="1" applyProtection="1">
      <alignment horizontal="right" vertical="center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11" fillId="2" borderId="0" xfId="10" applyNumberFormat="1" applyFont="1" applyFill="1" applyBorder="1" applyAlignment="1" applyProtection="1">
      <alignment horizontal="right"/>
    </xf>
    <xf numFmtId="0" fontId="10" fillId="2" borderId="2" xfId="13" applyFont="1" applyFill="1" applyBorder="1" applyAlignment="1" applyProtection="1">
      <alignment horizontal="right" vertical="center"/>
    </xf>
    <xf numFmtId="3" fontId="10" fillId="2" borderId="0" xfId="10" applyNumberFormat="1" applyFont="1" applyFill="1" applyBorder="1" applyAlignment="1" applyProtection="1">
      <alignment horizontal="right"/>
    </xf>
    <xf numFmtId="3" fontId="10" fillId="2" borderId="0" xfId="15" applyNumberFormat="1" applyFont="1" applyFill="1" applyBorder="1" applyAlignment="1" applyProtection="1">
      <alignment horizontal="right" vertical="center"/>
    </xf>
    <xf numFmtId="3" fontId="11" fillId="2" borderId="0" xfId="15" applyNumberFormat="1" applyFont="1" applyFill="1" applyAlignment="1" applyProtection="1">
      <alignment horizontal="right" vertical="center"/>
    </xf>
    <xf numFmtId="3" fontId="11" fillId="2" borderId="0" xfId="14" applyNumberFormat="1" applyFont="1" applyFill="1" applyAlignment="1">
      <alignment horizontal="right" vertical="center"/>
    </xf>
    <xf numFmtId="3" fontId="11" fillId="2" borderId="0" xfId="14" applyNumberFormat="1" applyFont="1" applyFill="1" applyAlignment="1">
      <alignment vertical="center"/>
    </xf>
    <xf numFmtId="3" fontId="11" fillId="2" borderId="0" xfId="15" applyNumberFormat="1" applyFont="1" applyFill="1" applyBorder="1" applyAlignment="1" applyProtection="1">
      <alignment horizontal="right" vertical="center"/>
    </xf>
    <xf numFmtId="0" fontId="10" fillId="2" borderId="2" xfId="17" applyFont="1" applyFill="1" applyBorder="1" applyAlignment="1" applyProtection="1">
      <alignment horizontal="right" vertical="center"/>
    </xf>
    <xf numFmtId="3" fontId="11" fillId="2" borderId="0" xfId="17" applyNumberFormat="1" applyFont="1" applyFill="1" applyAlignment="1" applyProtection="1">
      <alignment horizontal="right"/>
    </xf>
    <xf numFmtId="3" fontId="11" fillId="2" borderId="0" xfId="17" applyNumberFormat="1" applyFont="1" applyFill="1" applyBorder="1" applyAlignment="1" applyProtection="1">
      <alignment horizontal="right"/>
    </xf>
    <xf numFmtId="187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vertical="center" wrapText="1"/>
    </xf>
    <xf numFmtId="0" fontId="35" fillId="0" borderId="0" xfId="0" applyFont="1"/>
    <xf numFmtId="3" fontId="0" fillId="0" borderId="0" xfId="0" applyNumberFormat="1" applyAlignment="1">
      <alignment horizontal="center"/>
    </xf>
    <xf numFmtId="4" fontId="0" fillId="0" borderId="0" xfId="0" applyNumberFormat="1"/>
    <xf numFmtId="3" fontId="2" fillId="3" borderId="8" xfId="0" applyNumberFormat="1" applyFont="1" applyFill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3" fontId="0" fillId="0" borderId="10" xfId="0" applyNumberFormat="1" applyBorder="1"/>
    <xf numFmtId="0" fontId="0" fillId="0" borderId="10" xfId="0" applyBorder="1"/>
    <xf numFmtId="10" fontId="0" fillId="0" borderId="10" xfId="0" applyNumberFormat="1" applyBorder="1"/>
    <xf numFmtId="3" fontId="0" fillId="0" borderId="0" xfId="0" applyNumberFormat="1" applyBorder="1"/>
    <xf numFmtId="0" fontId="0" fillId="0" borderId="0" xfId="0" applyBorder="1"/>
    <xf numFmtId="10" fontId="0" fillId="0" borderId="0" xfId="0" applyNumberFormat="1" applyBorder="1"/>
    <xf numFmtId="0" fontId="0" fillId="0" borderId="11" xfId="0" applyBorder="1"/>
    <xf numFmtId="10" fontId="0" fillId="0" borderId="11" xfId="0" applyNumberFormat="1" applyBorder="1"/>
    <xf numFmtId="0" fontId="0" fillId="0" borderId="12" xfId="0" applyBorder="1" applyAlignment="1">
      <alignment horizontal="center"/>
    </xf>
    <xf numFmtId="3" fontId="2" fillId="4" borderId="0" xfId="0" applyNumberFormat="1" applyFont="1" applyFill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" fontId="5" fillId="4" borderId="7" xfId="0" applyNumberFormat="1" applyFont="1" applyFill="1" applyBorder="1" applyAlignment="1" applyProtection="1">
      <alignment horizontal="right"/>
    </xf>
    <xf numFmtId="1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/>
    </xf>
    <xf numFmtId="10" fontId="0" fillId="5" borderId="0" xfId="0" applyNumberFormat="1" applyFill="1" applyAlignment="1">
      <alignment vertical="center" wrapText="1"/>
    </xf>
    <xf numFmtId="187" fontId="0" fillId="0" borderId="0" xfId="0" applyNumberFormat="1" applyBorder="1"/>
    <xf numFmtId="187" fontId="0" fillId="0" borderId="11" xfId="0" applyNumberForma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Alignment="1">
      <alignment vertical="center" wrapText="1"/>
    </xf>
    <xf numFmtId="0" fontId="0" fillId="0" borderId="12" xfId="0" applyFill="1" applyBorder="1" applyAlignment="1">
      <alignment horizontal="center" vertical="center" wrapText="1"/>
    </xf>
    <xf numFmtId="3" fontId="0" fillId="0" borderId="11" xfId="0" applyNumberFormat="1" applyBorder="1"/>
    <xf numFmtId="3" fontId="0" fillId="0" borderId="1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0" xfId="0" applyNumberForma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0" fontId="0" fillId="0" borderId="12" xfId="0" applyBorder="1"/>
    <xf numFmtId="3" fontId="36" fillId="0" borderId="0" xfId="0" applyNumberFormat="1" applyFont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0" fillId="0" borderId="12" xfId="0" applyFill="1" applyBorder="1"/>
    <xf numFmtId="0" fontId="0" fillId="0" borderId="0" xfId="0" applyFill="1" applyAlignment="1">
      <alignment horizontal="left"/>
    </xf>
    <xf numFmtId="10" fontId="0" fillId="5" borderId="0" xfId="0" applyNumberFormat="1" applyFill="1"/>
    <xf numFmtId="3" fontId="2" fillId="0" borderId="8" xfId="0" applyNumberFormat="1" applyFont="1" applyFill="1" applyBorder="1" applyAlignment="1">
      <alignment horizontal="center" vertical="center" wrapText="1"/>
    </xf>
    <xf numFmtId="3" fontId="0" fillId="6" borderId="0" xfId="0" applyNumberFormat="1" applyFill="1"/>
    <xf numFmtId="3" fontId="2" fillId="0" borderId="0" xfId="0" applyNumberFormat="1" applyFont="1" applyAlignment="1">
      <alignment horizontal="left" vertical="center" wrapText="1"/>
    </xf>
    <xf numFmtId="3" fontId="2" fillId="7" borderId="0" xfId="0" applyNumberFormat="1" applyFont="1" applyFill="1" applyAlignment="1">
      <alignment horizontal="left" vertical="center" wrapText="1"/>
    </xf>
    <xf numFmtId="3" fontId="2" fillId="0" borderId="0" xfId="0" applyNumberFormat="1" applyFont="1" applyFill="1" applyAlignment="1">
      <alignment horizontal="center" vertical="center" wrapText="1"/>
    </xf>
    <xf numFmtId="3" fontId="2" fillId="6" borderId="8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3" fontId="0" fillId="8" borderId="8" xfId="0" applyNumberFormat="1" applyFill="1" applyBorder="1"/>
    <xf numFmtId="3" fontId="0" fillId="9" borderId="0" xfId="0" applyNumberFormat="1" applyFill="1"/>
    <xf numFmtId="3" fontId="37" fillId="0" borderId="0" xfId="0" applyNumberFormat="1" applyFont="1" applyAlignment="1">
      <alignment horizontal="center" vertical="center" wrapText="1"/>
    </xf>
    <xf numFmtId="3" fontId="2" fillId="0" borderId="9" xfId="0" applyNumberFormat="1" applyFont="1" applyFill="1" applyBorder="1" applyAlignment="1">
      <alignment horizontal="center" vertical="center" wrapText="1"/>
    </xf>
    <xf numFmtId="3" fontId="2" fillId="8" borderId="0" xfId="0" applyNumberFormat="1" applyFont="1" applyFill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32" fillId="4" borderId="0" xfId="0" applyNumberFormat="1" applyFont="1" applyFill="1" applyBorder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10" fontId="0" fillId="0" borderId="1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5" borderId="0" xfId="0" applyNumberFormat="1" applyFill="1" applyAlignment="1">
      <alignment horizontal="center" vertical="center" wrapText="1"/>
    </xf>
    <xf numFmtId="1" fontId="18" fillId="9" borderId="13" xfId="10" applyNumberFormat="1" applyFont="1" applyFill="1" applyBorder="1" applyAlignment="1" applyProtection="1">
      <alignment horizontal="left"/>
    </xf>
    <xf numFmtId="0" fontId="5" fillId="9" borderId="14" xfId="9" applyFont="1" applyFill="1" applyBorder="1" applyAlignment="1">
      <alignment horizontal="left"/>
    </xf>
    <xf numFmtId="0" fontId="5" fillId="9" borderId="15" xfId="9" applyFont="1" applyFill="1" applyBorder="1" applyAlignment="1">
      <alignment horizontal="left"/>
    </xf>
    <xf numFmtId="1" fontId="18" fillId="9" borderId="16" xfId="10" applyNumberFormat="1" applyFont="1" applyFill="1" applyBorder="1" applyAlignment="1" applyProtection="1">
      <alignment horizontal="right"/>
    </xf>
    <xf numFmtId="3" fontId="2" fillId="10" borderId="0" xfId="0" applyNumberFormat="1" applyFont="1" applyFill="1" applyAlignment="1">
      <alignment horizontal="left" vertical="center" wrapText="1"/>
    </xf>
    <xf numFmtId="3" fontId="2" fillId="10" borderId="0" xfId="0" applyNumberFormat="1" applyFont="1" applyFill="1" applyAlignment="1">
      <alignment horizontal="left" vertical="justify" wrapText="1"/>
    </xf>
    <xf numFmtId="3" fontId="0" fillId="0" borderId="12" xfId="0" applyNumberForma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4" borderId="0" xfId="0" applyNumberFormat="1" applyFill="1"/>
    <xf numFmtId="0" fontId="5" fillId="2" borderId="0" xfId="9" applyFont="1" applyFill="1"/>
    <xf numFmtId="0" fontId="8" fillId="2" borderId="0" xfId="9" applyFont="1" applyFill="1" applyAlignment="1">
      <alignment horizontal="centerContinuous"/>
    </xf>
    <xf numFmtId="3" fontId="11" fillId="2" borderId="0" xfId="9" applyNumberFormat="1" applyFont="1" applyFill="1" applyAlignment="1" applyProtection="1">
      <alignment horizontal="right"/>
    </xf>
    <xf numFmtId="3" fontId="10" fillId="2" borderId="0" xfId="9" applyNumberFormat="1" applyFont="1" applyFill="1" applyAlignment="1" applyProtection="1">
      <alignment horizontal="right"/>
    </xf>
    <xf numFmtId="3" fontId="10" fillId="2" borderId="0" xfId="9" applyNumberFormat="1" applyFont="1" applyFill="1" applyBorder="1" applyAlignment="1" applyProtection="1">
      <alignment horizontal="right"/>
    </xf>
    <xf numFmtId="3" fontId="11" fillId="2" borderId="0" xfId="9" applyNumberFormat="1" applyFont="1" applyFill="1" applyBorder="1" applyAlignment="1" applyProtection="1">
      <alignment horizontal="right"/>
    </xf>
    <xf numFmtId="1" fontId="5" fillId="2" borderId="0" xfId="9" applyNumberFormat="1" applyFont="1" applyFill="1" applyBorder="1" applyAlignment="1" applyProtection="1">
      <alignment horizontal="right"/>
    </xf>
    <xf numFmtId="1" fontId="5" fillId="2" borderId="2" xfId="9" applyNumberFormat="1" applyFont="1" applyFill="1" applyBorder="1" applyAlignment="1" applyProtection="1">
      <alignment horizontal="right"/>
    </xf>
    <xf numFmtId="1" fontId="14" fillId="2" borderId="0" xfId="9" applyNumberFormat="1" applyFont="1" applyFill="1" applyAlignment="1">
      <alignment horizontal="centerContinuous"/>
    </xf>
    <xf numFmtId="0" fontId="15" fillId="2" borderId="0" xfId="9" applyFont="1" applyFill="1" applyBorder="1"/>
    <xf numFmtId="0" fontId="19" fillId="2" borderId="0" xfId="17" applyFont="1" applyFill="1" applyAlignment="1">
      <alignment horizontal="centerContinuous"/>
    </xf>
    <xf numFmtId="0" fontId="24" fillId="2" borderId="2" xfId="17" applyFont="1" applyFill="1" applyBorder="1" applyAlignment="1">
      <alignment horizontal="centerContinuous" vertical="center"/>
    </xf>
    <xf numFmtId="3" fontId="10" fillId="2" borderId="0" xfId="17" applyNumberFormat="1" applyFont="1" applyFill="1" applyAlignment="1" applyProtection="1">
      <alignment horizontal="right"/>
    </xf>
    <xf numFmtId="1" fontId="18" fillId="2" borderId="0" xfId="17" applyNumberFormat="1" applyFont="1" applyFill="1" applyBorder="1" applyAlignment="1" applyProtection="1">
      <alignment horizontal="right"/>
    </xf>
    <xf numFmtId="1" fontId="18" fillId="2" borderId="2" xfId="17" applyNumberFormat="1" applyFont="1" applyFill="1" applyBorder="1" applyAlignment="1" applyProtection="1">
      <alignment horizontal="left"/>
    </xf>
    <xf numFmtId="1" fontId="15" fillId="2" borderId="0" xfId="17" applyNumberFormat="1" applyFont="1" applyFill="1" applyBorder="1" applyAlignment="1" applyProtection="1">
      <alignment horizontal="left"/>
    </xf>
    <xf numFmtId="0" fontId="20" fillId="2" borderId="0" xfId="17" applyFont="1" applyFill="1"/>
    <xf numFmtId="0" fontId="5" fillId="2" borderId="0" xfId="17" applyFont="1" applyFill="1"/>
    <xf numFmtId="3" fontId="0" fillId="2" borderId="0" xfId="0" applyNumberFormat="1" applyFill="1"/>
    <xf numFmtId="3" fontId="11" fillId="0" borderId="0" xfId="8" applyNumberFormat="1" applyFont="1" applyFill="1"/>
    <xf numFmtId="3" fontId="10" fillId="2" borderId="2" xfId="0" applyNumberFormat="1" applyFont="1" applyFill="1" applyBorder="1" applyAlignment="1" applyProtection="1">
      <alignment horizontal="right" vertical="center"/>
    </xf>
    <xf numFmtId="3" fontId="2" fillId="0" borderId="8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2" fillId="7" borderId="8" xfId="0" applyNumberFormat="1" applyFont="1" applyFill="1" applyBorder="1" applyAlignment="1">
      <alignment horizontal="center" vertical="center"/>
    </xf>
    <xf numFmtId="3" fontId="2" fillId="0" borderId="8" xfId="0" applyNumberFormat="1" applyFont="1" applyFill="1" applyBorder="1" applyAlignment="1">
      <alignment horizontal="center" vertical="center"/>
    </xf>
    <xf numFmtId="3" fontId="2" fillId="10" borderId="8" xfId="0" applyNumberFormat="1" applyFont="1" applyFill="1" applyBorder="1" applyAlignment="1">
      <alignment horizontal="center" vertical="center"/>
    </xf>
    <xf numFmtId="3" fontId="2" fillId="6" borderId="8" xfId="0" applyNumberFormat="1" applyFont="1" applyFill="1" applyBorder="1" applyAlignment="1">
      <alignment horizontal="center" vertical="center"/>
    </xf>
    <xf numFmtId="3" fontId="2" fillId="3" borderId="8" xfId="0" applyNumberFormat="1" applyFont="1" applyFill="1" applyBorder="1" applyAlignment="1">
      <alignment horizontal="center" vertical="center"/>
    </xf>
    <xf numFmtId="3" fontId="2" fillId="2" borderId="8" xfId="0" applyNumberFormat="1" applyFont="1" applyFill="1" applyBorder="1" applyAlignment="1">
      <alignment horizontal="center" vertical="center"/>
    </xf>
    <xf numFmtId="3" fontId="2" fillId="11" borderId="8" xfId="0" applyNumberFormat="1" applyFont="1" applyFill="1" applyBorder="1" applyAlignment="1">
      <alignment horizontal="center" vertical="center"/>
    </xf>
    <xf numFmtId="1" fontId="0" fillId="0" borderId="8" xfId="0" applyNumberFormat="1" applyFill="1" applyBorder="1" applyAlignment="1"/>
    <xf numFmtId="3" fontId="2" fillId="12" borderId="8" xfId="0" applyNumberFormat="1" applyFont="1" applyFill="1" applyBorder="1" applyAlignment="1">
      <alignment horizontal="center" vertical="center"/>
    </xf>
    <xf numFmtId="3" fontId="2" fillId="9" borderId="8" xfId="0" applyNumberFormat="1" applyFont="1" applyFill="1" applyBorder="1" applyAlignment="1">
      <alignment horizontal="center" vertical="center"/>
    </xf>
    <xf numFmtId="3" fontId="0" fillId="8" borderId="8" xfId="0" applyNumberFormat="1" applyFill="1" applyBorder="1" applyAlignment="1"/>
    <xf numFmtId="3" fontId="2" fillId="5" borderId="8" xfId="0" applyNumberFormat="1" applyFont="1" applyFill="1" applyBorder="1" applyAlignment="1">
      <alignment horizontal="center" vertical="center"/>
    </xf>
    <xf numFmtId="3" fontId="32" fillId="4" borderId="8" xfId="0" applyNumberFormat="1" applyFont="1" applyFill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3" fontId="41" fillId="0" borderId="0" xfId="0" applyNumberFormat="1" applyFont="1" applyAlignment="1">
      <alignment horizontal="center" vertical="center" wrapText="1"/>
    </xf>
    <xf numFmtId="0" fontId="41" fillId="0" borderId="0" xfId="0" applyFont="1" applyAlignment="1">
      <alignment horizontal="right" vertical="top"/>
    </xf>
    <xf numFmtId="0" fontId="41" fillId="0" borderId="0" xfId="0" applyFont="1" applyAlignment="1">
      <alignment vertical="top"/>
    </xf>
    <xf numFmtId="0" fontId="41" fillId="0" borderId="0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3" fontId="41" fillId="0" borderId="0" xfId="0" applyNumberFormat="1" applyFont="1" applyAlignment="1">
      <alignment horizontal="center" vertical="center"/>
    </xf>
    <xf numFmtId="3" fontId="41" fillId="4" borderId="0" xfId="0" applyNumberFormat="1" applyFont="1" applyFill="1" applyAlignment="1">
      <alignment horizontal="center" vertical="center"/>
    </xf>
    <xf numFmtId="3" fontId="41" fillId="9" borderId="8" xfId="0" applyNumberFormat="1" applyFont="1" applyFill="1" applyBorder="1" applyAlignment="1">
      <alignment horizontal="center" vertical="center"/>
    </xf>
    <xf numFmtId="0" fontId="41" fillId="9" borderId="8" xfId="0" applyFont="1" applyFill="1" applyBorder="1" applyAlignment="1">
      <alignment horizontal="center" vertical="center"/>
    </xf>
    <xf numFmtId="0" fontId="41" fillId="9" borderId="0" xfId="0" applyFont="1" applyFill="1" applyBorder="1" applyAlignment="1">
      <alignment horizontal="center" vertical="center"/>
    </xf>
    <xf numFmtId="0" fontId="7" fillId="0" borderId="0" xfId="19" applyFont="1" applyAlignment="1" applyProtection="1">
      <alignment horizontal="left"/>
    </xf>
    <xf numFmtId="0" fontId="28" fillId="0" borderId="0" xfId="19" applyFont="1" applyAlignment="1">
      <alignment horizontal="centerContinuous"/>
    </xf>
    <xf numFmtId="0" fontId="43" fillId="0" borderId="0" xfId="19" applyFont="1" applyAlignment="1">
      <alignment horizontal="centerContinuous"/>
    </xf>
    <xf numFmtId="0" fontId="11" fillId="0" borderId="0" xfId="19" applyFont="1"/>
    <xf numFmtId="0" fontId="28" fillId="0" borderId="0" xfId="19" applyFont="1" applyAlignment="1" applyProtection="1">
      <alignment horizontal="centerContinuous"/>
    </xf>
    <xf numFmtId="0" fontId="26" fillId="0" borderId="0" xfId="18" applyFont="1" applyAlignment="1" applyProtection="1"/>
    <xf numFmtId="0" fontId="44" fillId="0" borderId="0" xfId="19" applyFont="1" applyAlignment="1" applyProtection="1">
      <alignment horizontal="centerContinuous"/>
    </xf>
    <xf numFmtId="0" fontId="44" fillId="0" borderId="0" xfId="19" applyFont="1" applyAlignment="1">
      <alignment horizontal="centerContinuous"/>
    </xf>
    <xf numFmtId="0" fontId="45" fillId="0" borderId="0" xfId="19" applyFont="1" applyAlignment="1">
      <alignment horizontal="centerContinuous"/>
    </xf>
    <xf numFmtId="0" fontId="46" fillId="0" borderId="0" xfId="18" applyFont="1" applyAlignment="1" applyProtection="1">
      <alignment horizontal="left"/>
    </xf>
    <xf numFmtId="0" fontId="10" fillId="0" borderId="1" xfId="19" applyFont="1" applyBorder="1" applyAlignment="1" applyProtection="1">
      <alignment horizontal="center" vertical="center"/>
    </xf>
    <xf numFmtId="0" fontId="10" fillId="0" borderId="2" xfId="19" applyFont="1" applyBorder="1" applyAlignment="1" applyProtection="1">
      <alignment horizontal="right" vertical="center"/>
    </xf>
    <xf numFmtId="0" fontId="10" fillId="0" borderId="3" xfId="19" applyFont="1" applyBorder="1"/>
    <xf numFmtId="182" fontId="10" fillId="0" borderId="2" xfId="19" applyNumberFormat="1" applyFont="1" applyBorder="1"/>
    <xf numFmtId="0" fontId="10" fillId="0" borderId="3" xfId="19" applyFont="1" applyBorder="1" applyAlignment="1" applyProtection="1">
      <alignment horizontal="left"/>
    </xf>
    <xf numFmtId="3" fontId="10" fillId="0" borderId="0" xfId="19" applyNumberFormat="1" applyFont="1" applyBorder="1" applyAlignment="1" applyProtection="1">
      <alignment horizontal="right"/>
    </xf>
    <xf numFmtId="3" fontId="10" fillId="0" borderId="0" xfId="19" applyNumberFormat="1" applyFont="1" applyAlignment="1" applyProtection="1">
      <alignment horizontal="right"/>
    </xf>
    <xf numFmtId="0" fontId="11" fillId="0" borderId="3" xfId="19" applyFont="1" applyBorder="1" applyAlignment="1" applyProtection="1">
      <alignment horizontal="left"/>
    </xf>
    <xf numFmtId="3" fontId="11" fillId="0" borderId="0" xfId="19" applyNumberFormat="1" applyFont="1" applyAlignment="1" applyProtection="1">
      <alignment horizontal="right"/>
    </xf>
    <xf numFmtId="3" fontId="11" fillId="0" borderId="0" xfId="19" applyNumberFormat="1" applyFont="1" applyBorder="1" applyAlignment="1" applyProtection="1">
      <alignment horizontal="right"/>
    </xf>
    <xf numFmtId="3" fontId="11" fillId="0" borderId="0" xfId="19" applyNumberFormat="1" applyFont="1" applyAlignment="1">
      <alignment horizontal="right"/>
    </xf>
    <xf numFmtId="0" fontId="11" fillId="0" borderId="3" xfId="19" quotePrefix="1" applyFont="1" applyBorder="1" applyAlignment="1" applyProtection="1">
      <alignment horizontal="left"/>
    </xf>
    <xf numFmtId="3" fontId="11" fillId="0" borderId="0" xfId="19" applyNumberFormat="1" applyFont="1"/>
    <xf numFmtId="0" fontId="5" fillId="0" borderId="6" xfId="19" applyFont="1" applyBorder="1" applyAlignment="1" applyProtection="1">
      <alignment horizontal="left"/>
    </xf>
    <xf numFmtId="1" fontId="5" fillId="0" borderId="0" xfId="19" applyNumberFormat="1" applyFont="1" applyBorder="1" applyAlignment="1" applyProtection="1">
      <alignment horizontal="right"/>
    </xf>
    <xf numFmtId="0" fontId="12" fillId="0" borderId="2" xfId="19" applyFont="1" applyBorder="1" applyAlignment="1" applyProtection="1">
      <alignment horizontal="left"/>
    </xf>
    <xf numFmtId="1" fontId="5" fillId="0" borderId="2" xfId="19" applyNumberFormat="1" applyFont="1" applyBorder="1" applyAlignment="1" applyProtection="1">
      <alignment horizontal="center"/>
    </xf>
    <xf numFmtId="0" fontId="13" fillId="0" borderId="0" xfId="18" applyFont="1" applyAlignment="1" applyProtection="1">
      <alignment horizontal="left"/>
    </xf>
    <xf numFmtId="0" fontId="5" fillId="0" borderId="0" xfId="19" applyFont="1"/>
    <xf numFmtId="10" fontId="0" fillId="0" borderId="0" xfId="0" applyNumberFormat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189" fontId="0" fillId="0" borderId="0" xfId="0" applyNumberFormat="1" applyBorder="1" applyAlignment="1">
      <alignment horizontal="center"/>
    </xf>
    <xf numFmtId="4" fontId="0" fillId="0" borderId="10" xfId="0" applyNumberFormat="1" applyBorder="1"/>
    <xf numFmtId="4" fontId="0" fillId="0" borderId="0" xfId="0" applyNumberFormat="1" applyBorder="1"/>
    <xf numFmtId="4" fontId="0" fillId="0" borderId="11" xfId="0" applyNumberFormat="1" applyBorder="1"/>
    <xf numFmtId="10" fontId="0" fillId="5" borderId="0" xfId="0" applyNumberFormat="1" applyFill="1" applyAlignment="1">
      <alignment horizontal="center"/>
    </xf>
    <xf numFmtId="0" fontId="41" fillId="13" borderId="0" xfId="0" applyFont="1" applyFill="1" applyAlignment="1">
      <alignment horizontal="center" vertical="center" wrapText="1"/>
    </xf>
    <xf numFmtId="3" fontId="41" fillId="13" borderId="0" xfId="0" applyNumberFormat="1" applyFont="1" applyFill="1" applyAlignment="1">
      <alignment horizontal="center" vertical="center" wrapText="1"/>
    </xf>
    <xf numFmtId="0" fontId="41" fillId="13" borderId="8" xfId="0" applyFont="1" applyFill="1" applyBorder="1" applyAlignment="1">
      <alignment horizontal="center" vertical="center" wrapText="1"/>
    </xf>
    <xf numFmtId="3" fontId="41" fillId="13" borderId="8" xfId="0" applyNumberFormat="1" applyFont="1" applyFill="1" applyBorder="1" applyAlignment="1">
      <alignment horizontal="center" vertical="center" wrapText="1"/>
    </xf>
    <xf numFmtId="0" fontId="41" fillId="13" borderId="8" xfId="0" applyFont="1" applyFill="1" applyBorder="1" applyAlignment="1">
      <alignment horizontal="center" vertical="center"/>
    </xf>
    <xf numFmtId="3" fontId="41" fillId="13" borderId="8" xfId="0" applyNumberFormat="1" applyFont="1" applyFill="1" applyBorder="1" applyAlignment="1">
      <alignment horizontal="center" vertical="center"/>
    </xf>
    <xf numFmtId="1" fontId="41" fillId="13" borderId="8" xfId="0" applyNumberFormat="1" applyFont="1" applyFill="1" applyBorder="1" applyAlignment="1">
      <alignment horizontal="center" vertical="center" wrapText="1"/>
    </xf>
    <xf numFmtId="0" fontId="42" fillId="13" borderId="8" xfId="0" applyFont="1" applyFill="1" applyBorder="1" applyAlignment="1">
      <alignment horizontal="center" vertical="center"/>
    </xf>
    <xf numFmtId="0" fontId="36" fillId="0" borderId="1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3" fontId="36" fillId="0" borderId="8" xfId="0" applyNumberFormat="1" applyFont="1" applyBorder="1" applyAlignment="1">
      <alignment horizontal="center" vertical="center" wrapText="1"/>
    </xf>
    <xf numFmtId="1" fontId="36" fillId="0" borderId="8" xfId="0" applyNumberFormat="1" applyFont="1" applyBorder="1" applyAlignment="1">
      <alignment horizontal="center" vertical="center" wrapText="1"/>
    </xf>
    <xf numFmtId="0" fontId="48" fillId="0" borderId="8" xfId="0" applyFont="1" applyBorder="1" applyAlignment="1">
      <alignment horizontal="center" vertical="center" wrapText="1"/>
    </xf>
    <xf numFmtId="0" fontId="50" fillId="0" borderId="0" xfId="21" applyFont="1" applyFill="1" applyAlignment="1">
      <alignment horizontal="centerContinuous"/>
    </xf>
    <xf numFmtId="0" fontId="51" fillId="0" borderId="0" xfId="21" applyFont="1" applyFill="1" applyAlignment="1">
      <alignment horizontal="centerContinuous"/>
    </xf>
    <xf numFmtId="182" fontId="52" fillId="0" borderId="0" xfId="21" applyNumberFormat="1" applyFont="1" applyFill="1" applyAlignment="1">
      <alignment horizontal="centerContinuous"/>
    </xf>
    <xf numFmtId="182" fontId="52" fillId="0" borderId="0" xfId="21" applyNumberFormat="1" applyFont="1" applyFill="1" applyBorder="1" applyAlignment="1">
      <alignment horizontal="centerContinuous"/>
    </xf>
    <xf numFmtId="182" fontId="52" fillId="0" borderId="18" xfId="21" applyNumberFormat="1" applyFont="1" applyFill="1" applyBorder="1" applyAlignment="1">
      <alignment horizontal="centerContinuous"/>
    </xf>
    <xf numFmtId="1" fontId="52" fillId="0" borderId="0" xfId="21" applyNumberFormat="1" applyFont="1" applyFill="1" applyAlignment="1">
      <alignment horizontal="right"/>
    </xf>
    <xf numFmtId="182" fontId="52" fillId="0" borderId="0" xfId="21" applyNumberFormat="1" applyFont="1" applyFill="1" applyAlignment="1">
      <alignment horizontal="right"/>
    </xf>
    <xf numFmtId="182" fontId="52" fillId="0" borderId="0" xfId="21" quotePrefix="1" applyNumberFormat="1" applyFont="1" applyFill="1" applyAlignment="1">
      <alignment horizontal="right"/>
    </xf>
    <xf numFmtId="190" fontId="52" fillId="0" borderId="18" xfId="21" quotePrefix="1" applyNumberFormat="1" applyFont="1" applyFill="1" applyBorder="1"/>
    <xf numFmtId="182" fontId="52" fillId="0" borderId="18" xfId="21" applyNumberFormat="1" applyFont="1" applyFill="1" applyBorder="1"/>
    <xf numFmtId="0" fontId="51" fillId="0" borderId="0" xfId="21" applyFont="1" applyFill="1"/>
    <xf numFmtId="182" fontId="52" fillId="0" borderId="0" xfId="21" applyNumberFormat="1" applyFont="1" applyFill="1" applyProtection="1"/>
    <xf numFmtId="190" fontId="50" fillId="0" borderId="0" xfId="21" applyNumberFormat="1" applyFont="1" applyFill="1"/>
    <xf numFmtId="182" fontId="50" fillId="0" borderId="0" xfId="21" applyNumberFormat="1" applyFont="1" applyFill="1" applyProtection="1"/>
    <xf numFmtId="190" fontId="50" fillId="0" borderId="11" xfId="21" applyNumberFormat="1" applyFont="1" applyFill="1" applyBorder="1"/>
    <xf numFmtId="0" fontId="10" fillId="2" borderId="0" xfId="6" applyFont="1" applyFill="1" applyBorder="1" applyAlignment="1" applyProtection="1">
      <alignment horizontal="right" vertical="center"/>
    </xf>
    <xf numFmtId="0" fontId="10" fillId="0" borderId="0" xfId="6" quotePrefix="1" applyFont="1" applyBorder="1" applyAlignment="1" applyProtection="1">
      <alignment horizontal="right" vertical="center"/>
    </xf>
    <xf numFmtId="49" fontId="10" fillId="0" borderId="0" xfId="6" applyNumberFormat="1" applyFont="1" applyBorder="1" applyAlignment="1" applyProtection="1">
      <alignment horizontal="right" vertical="center"/>
    </xf>
    <xf numFmtId="49" fontId="3" fillId="0" borderId="0" xfId="5" applyNumberFormat="1" applyFont="1" applyBorder="1" applyAlignment="1" applyProtection="1">
      <alignment horizontal="left"/>
    </xf>
    <xf numFmtId="0" fontId="28" fillId="0" borderId="0" xfId="6" applyFont="1" applyBorder="1" applyAlignment="1">
      <alignment horizontal="centerContinuous"/>
    </xf>
    <xf numFmtId="0" fontId="11" fillId="0" borderId="0" xfId="6" applyFont="1" applyFill="1" applyBorder="1" applyAlignment="1">
      <alignment horizontal="centerContinuous"/>
    </xf>
    <xf numFmtId="0" fontId="10" fillId="0" borderId="0" xfId="6" applyFont="1" applyBorder="1" applyAlignment="1" applyProtection="1">
      <alignment horizontal="center"/>
    </xf>
    <xf numFmtId="0" fontId="10" fillId="0" borderId="0" xfId="6" applyFont="1" applyBorder="1" applyAlignment="1" applyProtection="1">
      <alignment horizontal="left"/>
    </xf>
    <xf numFmtId="190" fontId="52" fillId="0" borderId="0" xfId="21" applyNumberFormat="1" applyFont="1" applyFill="1" applyBorder="1" applyAlignment="1">
      <alignment horizontal="centerContinuous"/>
    </xf>
    <xf numFmtId="0" fontId="50" fillId="0" borderId="0" xfId="21" applyFont="1" applyFill="1" applyBorder="1" applyAlignment="1">
      <alignment horizontal="centerContinuous"/>
    </xf>
    <xf numFmtId="0" fontId="51" fillId="0" borderId="0" xfId="21" applyFont="1" applyFill="1" applyBorder="1"/>
    <xf numFmtId="190" fontId="50" fillId="0" borderId="0" xfId="21" applyNumberFormat="1" applyFont="1" applyFill="1" applyBorder="1"/>
    <xf numFmtId="0" fontId="15" fillId="0" borderId="0" xfId="0" applyFont="1" applyBorder="1" applyAlignment="1" applyProtection="1">
      <alignment horizontal="left"/>
    </xf>
    <xf numFmtId="1" fontId="11" fillId="0" borderId="0" xfId="0" applyNumberFormat="1" applyFont="1" applyFill="1" applyBorder="1" applyAlignment="1" applyProtection="1">
      <alignment horizontal="right"/>
    </xf>
    <xf numFmtId="3" fontId="11" fillId="0" borderId="0" xfId="0" applyNumberFormat="1" applyFont="1" applyFill="1" applyBorder="1" applyAlignment="1" applyProtection="1">
      <alignment horizontal="right"/>
    </xf>
    <xf numFmtId="1" fontId="5" fillId="0" borderId="0" xfId="0" applyNumberFormat="1" applyFont="1" applyFill="1" applyBorder="1" applyAlignment="1" applyProtection="1">
      <alignment horizontal="right"/>
    </xf>
    <xf numFmtId="0" fontId="52" fillId="0" borderId="0" xfId="0" applyFont="1" applyFill="1" applyAlignment="1">
      <alignment horizontal="centerContinuous"/>
    </xf>
    <xf numFmtId="0" fontId="50" fillId="0" borderId="0" xfId="0" applyFont="1" applyFill="1" applyAlignment="1">
      <alignment horizontal="centerContinuous"/>
    </xf>
    <xf numFmtId="0" fontId="51" fillId="0" borderId="0" xfId="0" applyFont="1" applyFill="1" applyAlignment="1">
      <alignment horizontal="centerContinuous"/>
    </xf>
    <xf numFmtId="0" fontId="52" fillId="0" borderId="0" xfId="0" applyFont="1" applyFill="1"/>
    <xf numFmtId="182" fontId="52" fillId="0" borderId="0" xfId="0" applyNumberFormat="1" applyFont="1" applyFill="1"/>
    <xf numFmtId="182" fontId="52" fillId="0" borderId="0" xfId="0" applyNumberFormat="1" applyFont="1" applyFill="1" applyAlignment="1">
      <alignment horizontal="centerContinuous"/>
    </xf>
    <xf numFmtId="182" fontId="52" fillId="0" borderId="18" xfId="0" applyNumberFormat="1" applyFont="1" applyFill="1" applyBorder="1"/>
    <xf numFmtId="1" fontId="52" fillId="0" borderId="0" xfId="0" applyNumberFormat="1" applyFont="1" applyFill="1" applyAlignment="1">
      <alignment horizontal="right"/>
    </xf>
    <xf numFmtId="190" fontId="52" fillId="0" borderId="0" xfId="0" quotePrefix="1" applyNumberFormat="1" applyFont="1" applyFill="1" applyAlignment="1">
      <alignment horizontal="right"/>
    </xf>
    <xf numFmtId="182" fontId="52" fillId="0" borderId="0" xfId="0" applyNumberFormat="1" applyFont="1" applyFill="1" applyAlignment="1">
      <alignment horizontal="right"/>
    </xf>
    <xf numFmtId="182" fontId="52" fillId="0" borderId="0" xfId="0" quotePrefix="1" applyNumberFormat="1" applyFont="1" applyFill="1" applyAlignment="1">
      <alignment horizontal="right"/>
    </xf>
    <xf numFmtId="190" fontId="52" fillId="0" borderId="18" xfId="0" quotePrefix="1" applyNumberFormat="1" applyFont="1" applyFill="1" applyBorder="1"/>
    <xf numFmtId="0" fontId="50" fillId="0" borderId="0" xfId="0" applyFont="1" applyFill="1"/>
    <xf numFmtId="182" fontId="50" fillId="0" borderId="0" xfId="0" applyNumberFormat="1" applyFont="1" applyFill="1"/>
    <xf numFmtId="0" fontId="51" fillId="0" borderId="0" xfId="0" applyFont="1" applyFill="1"/>
    <xf numFmtId="0" fontId="50" fillId="0" borderId="11" xfId="0" applyFont="1" applyFill="1" applyBorder="1"/>
    <xf numFmtId="182" fontId="50" fillId="0" borderId="11" xfId="0" applyNumberFormat="1" applyFont="1" applyFill="1" applyBorder="1"/>
    <xf numFmtId="0" fontId="49" fillId="0" borderId="0" xfId="0" applyFont="1" applyFill="1" applyBorder="1"/>
    <xf numFmtId="0" fontId="49" fillId="0" borderId="0" xfId="0" applyFont="1" applyFill="1"/>
    <xf numFmtId="0" fontId="52" fillId="0" borderId="0" xfId="0" applyFont="1" applyFill="1" applyBorder="1"/>
    <xf numFmtId="0" fontId="50" fillId="0" borderId="0" xfId="0" applyFont="1" applyFill="1" applyBorder="1"/>
    <xf numFmtId="0" fontId="51" fillId="0" borderId="0" xfId="0" applyFont="1" applyFill="1" applyBorder="1"/>
    <xf numFmtId="182" fontId="51" fillId="0" borderId="0" xfId="0" applyNumberFormat="1" applyFont="1" applyFill="1"/>
    <xf numFmtId="3" fontId="10" fillId="0" borderId="0" xfId="10" applyNumberFormat="1" applyFont="1" applyFill="1" applyBorder="1" applyAlignment="1" applyProtection="1">
      <alignment horizontal="right"/>
    </xf>
    <xf numFmtId="1" fontId="11" fillId="14" borderId="0" xfId="10" applyNumberFormat="1" applyFont="1" applyFill="1" applyAlignment="1" applyProtection="1">
      <alignment horizontal="right"/>
    </xf>
    <xf numFmtId="3" fontId="11" fillId="0" borderId="0" xfId="9" applyNumberFormat="1" applyFont="1" applyFill="1" applyBorder="1" applyAlignment="1" applyProtection="1">
      <alignment horizontal="right"/>
    </xf>
    <xf numFmtId="3" fontId="11" fillId="0" borderId="0" xfId="9" applyNumberFormat="1" applyFont="1" applyFill="1" applyBorder="1" applyAlignment="1">
      <alignment horizontal="right"/>
    </xf>
    <xf numFmtId="3" fontId="11" fillId="0" borderId="0" xfId="9" applyNumberFormat="1" applyFont="1" applyFill="1" applyAlignment="1">
      <alignment horizontal="right"/>
    </xf>
    <xf numFmtId="3" fontId="11" fillId="0" borderId="0" xfId="0" applyNumberFormat="1" applyFont="1" applyFill="1" applyAlignment="1">
      <alignment horizontal="right"/>
    </xf>
    <xf numFmtId="0" fontId="50" fillId="0" borderId="0" xfId="0" quotePrefix="1" applyFont="1" applyFill="1"/>
    <xf numFmtId="0" fontId="10" fillId="0" borderId="0" xfId="16" applyFont="1" applyFill="1" applyBorder="1" applyAlignment="1" applyProtection="1">
      <alignment horizontal="right" vertical="center"/>
    </xf>
    <xf numFmtId="0" fontId="5" fillId="0" borderId="6" xfId="12" applyFont="1" applyBorder="1" applyAlignment="1" applyProtection="1">
      <alignment horizontal="left"/>
    </xf>
    <xf numFmtId="0" fontId="52" fillId="2" borderId="0" xfId="0" applyFont="1" applyFill="1"/>
    <xf numFmtId="0" fontId="16" fillId="0" borderId="0" xfId="0" applyFont="1" applyFill="1" applyAlignment="1">
      <alignment horizontal="centerContinuous"/>
    </xf>
    <xf numFmtId="0" fontId="53" fillId="0" borderId="0" xfId="0" applyFont="1" applyFill="1" applyAlignment="1">
      <alignment horizontal="centerContinuous"/>
    </xf>
    <xf numFmtId="190" fontId="53" fillId="0" borderId="0" xfId="0" applyNumberFormat="1" applyFont="1" applyFill="1" applyAlignment="1" applyProtection="1">
      <alignment horizontal="centerContinuous"/>
    </xf>
    <xf numFmtId="190" fontId="54" fillId="0" borderId="0" xfId="0" applyNumberFormat="1" applyFont="1" applyFill="1" applyAlignment="1">
      <alignment horizontal="centerContinuous"/>
    </xf>
    <xf numFmtId="190" fontId="54" fillId="0" borderId="0" xfId="0" applyNumberFormat="1" applyFont="1" applyFill="1" applyAlignment="1" applyProtection="1">
      <alignment horizontal="centerContinuous"/>
    </xf>
    <xf numFmtId="190" fontId="55" fillId="0" borderId="0" xfId="0" applyNumberFormat="1" applyFont="1" applyFill="1" applyAlignment="1">
      <alignment horizontal="centerContinuous"/>
    </xf>
    <xf numFmtId="0" fontId="55" fillId="0" borderId="0" xfId="0" applyFont="1" applyFill="1" applyAlignment="1">
      <alignment horizontal="centerContinuous"/>
    </xf>
    <xf numFmtId="182" fontId="55" fillId="0" borderId="0" xfId="0" applyNumberFormat="1" applyFont="1" applyFill="1" applyAlignment="1">
      <alignment horizontal="centerContinuous"/>
    </xf>
    <xf numFmtId="0" fontId="54" fillId="0" borderId="0" xfId="0" applyFont="1" applyFill="1" applyAlignment="1">
      <alignment horizontal="centerContinuous"/>
    </xf>
    <xf numFmtId="0" fontId="55" fillId="0" borderId="19" xfId="0" applyFont="1" applyFill="1" applyBorder="1" applyAlignment="1">
      <alignment horizontal="centerContinuous"/>
    </xf>
    <xf numFmtId="190" fontId="55" fillId="0" borderId="19" xfId="0" applyNumberFormat="1" applyFont="1" applyFill="1" applyBorder="1" applyAlignment="1" applyProtection="1">
      <alignment horizontal="centerContinuous"/>
    </xf>
    <xf numFmtId="190" fontId="55" fillId="0" borderId="19" xfId="0" applyNumberFormat="1" applyFont="1" applyFill="1" applyBorder="1" applyAlignment="1">
      <alignment horizontal="centerContinuous"/>
    </xf>
    <xf numFmtId="0" fontId="54" fillId="0" borderId="0" xfId="0" applyFont="1" applyFill="1"/>
    <xf numFmtId="190" fontId="54" fillId="0" borderId="0" xfId="0" applyNumberFormat="1" applyFont="1" applyFill="1"/>
    <xf numFmtId="0" fontId="56" fillId="0" borderId="0" xfId="0" applyFont="1" applyFill="1"/>
    <xf numFmtId="182" fontId="54" fillId="0" borderId="0" xfId="0" applyNumberFormat="1" applyFont="1" applyFill="1" applyAlignment="1">
      <alignment horizontal="centerContinuous"/>
    </xf>
    <xf numFmtId="190" fontId="54" fillId="0" borderId="18" xfId="0" applyNumberFormat="1" applyFont="1" applyFill="1" applyBorder="1"/>
    <xf numFmtId="182" fontId="54" fillId="0" borderId="18" xfId="0" applyNumberFormat="1" applyFont="1" applyFill="1" applyBorder="1"/>
    <xf numFmtId="182" fontId="54" fillId="0" borderId="0" xfId="0" applyNumberFormat="1" applyFont="1" applyFill="1"/>
    <xf numFmtId="190" fontId="54" fillId="0" borderId="0" xfId="0" applyNumberFormat="1" applyFont="1" applyFill="1" applyAlignment="1">
      <alignment horizontal="right"/>
    </xf>
    <xf numFmtId="190" fontId="14" fillId="0" borderId="0" xfId="0" quotePrefix="1" applyNumberFormat="1" applyFont="1" applyFill="1" applyAlignment="1">
      <alignment horizontal="right"/>
    </xf>
    <xf numFmtId="0" fontId="54" fillId="0" borderId="18" xfId="0" applyFont="1" applyFill="1" applyBorder="1"/>
    <xf numFmtId="190" fontId="14" fillId="0" borderId="18" xfId="0" quotePrefix="1" applyNumberFormat="1" applyFont="1" applyFill="1" applyBorder="1"/>
    <xf numFmtId="190" fontId="14" fillId="0" borderId="18" xfId="0" quotePrefix="1" applyNumberFormat="1" applyFont="1" applyFill="1" applyBorder="1" applyAlignment="1">
      <alignment horizontal="center"/>
    </xf>
    <xf numFmtId="182" fontId="56" fillId="0" borderId="0" xfId="0" applyNumberFormat="1" applyFont="1" applyFill="1"/>
    <xf numFmtId="182" fontId="14" fillId="0" borderId="0" xfId="0" applyNumberFormat="1" applyFont="1" applyFill="1"/>
    <xf numFmtId="190" fontId="14" fillId="0" borderId="0" xfId="0" applyNumberFormat="1" applyFont="1" applyFill="1"/>
    <xf numFmtId="182" fontId="16" fillId="0" borderId="0" xfId="0" applyNumberFormat="1" applyFont="1" applyFill="1"/>
    <xf numFmtId="190" fontId="16" fillId="0" borderId="0" xfId="0" applyNumberFormat="1" applyFont="1" applyFill="1"/>
    <xf numFmtId="0" fontId="16" fillId="0" borderId="0" xfId="0" applyFont="1" applyFill="1"/>
    <xf numFmtId="182" fontId="16" fillId="0" borderId="19" xfId="0" applyNumberFormat="1" applyFont="1" applyFill="1" applyBorder="1"/>
    <xf numFmtId="190" fontId="16" fillId="0" borderId="19" xfId="0" applyNumberFormat="1" applyFont="1" applyFill="1" applyBorder="1"/>
    <xf numFmtId="0" fontId="55" fillId="0" borderId="0" xfId="0" applyFont="1" applyFill="1"/>
    <xf numFmtId="190" fontId="55" fillId="0" borderId="0" xfId="0" applyNumberFormat="1" applyFont="1" applyFill="1" applyProtection="1"/>
    <xf numFmtId="190" fontId="55" fillId="0" borderId="0" xfId="0" applyNumberFormat="1" applyFont="1" applyFill="1"/>
    <xf numFmtId="0" fontId="16" fillId="2" borderId="0" xfId="0" applyFont="1" applyFill="1"/>
    <xf numFmtId="182" fontId="16" fillId="2" borderId="0" xfId="0" applyNumberFormat="1" applyFont="1" applyFill="1"/>
    <xf numFmtId="0" fontId="10" fillId="0" borderId="0" xfId="19" applyFont="1" applyFill="1" applyBorder="1" applyAlignment="1" applyProtection="1">
      <alignment horizontal="right" vertical="center"/>
    </xf>
    <xf numFmtId="3" fontId="10" fillId="0" borderId="0" xfId="19" applyNumberFormat="1" applyFont="1" applyFill="1" applyBorder="1" applyAlignment="1" applyProtection="1">
      <alignment horizontal="right"/>
    </xf>
    <xf numFmtId="3" fontId="0" fillId="0" borderId="0" xfId="0" applyNumberForma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" fontId="0" fillId="3" borderId="0" xfId="0" applyNumberFormat="1" applyFill="1"/>
    <xf numFmtId="1" fontId="0" fillId="11" borderId="0" xfId="0" applyNumberFormat="1" applyFill="1"/>
    <xf numFmtId="1" fontId="0" fillId="5" borderId="0" xfId="0" applyNumberFormat="1" applyFill="1"/>
    <xf numFmtId="1" fontId="0" fillId="9" borderId="0" xfId="0" applyNumberFormat="1" applyFill="1"/>
    <xf numFmtId="1" fontId="0" fillId="8" borderId="0" xfId="0" applyNumberFormat="1" applyFill="1"/>
    <xf numFmtId="3" fontId="2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left" vertical="center" wrapText="1"/>
    </xf>
    <xf numFmtId="1" fontId="39" fillId="0" borderId="0" xfId="0" applyNumberFormat="1" applyFont="1" applyFill="1" applyBorder="1"/>
    <xf numFmtId="3" fontId="38" fillId="0" borderId="0" xfId="0" applyNumberFormat="1" applyFont="1" applyFill="1" applyBorder="1" applyAlignment="1">
      <alignment horizontal="center" vertical="center" wrapText="1"/>
    </xf>
    <xf numFmtId="0" fontId="57" fillId="0" borderId="8" xfId="0" applyFont="1" applyBorder="1"/>
    <xf numFmtId="0" fontId="58" fillId="0" borderId="0" xfId="0" applyFont="1"/>
    <xf numFmtId="3" fontId="58" fillId="0" borderId="0" xfId="0" applyNumberFormat="1" applyFont="1"/>
    <xf numFmtId="0" fontId="58" fillId="0" borderId="0" xfId="0" applyFont="1" applyAlignment="1">
      <alignment horizontal="center" vertical="center" wrapText="1"/>
    </xf>
    <xf numFmtId="0" fontId="58" fillId="0" borderId="12" xfId="0" applyFont="1" applyBorder="1"/>
    <xf numFmtId="1" fontId="58" fillId="0" borderId="0" xfId="0" applyNumberFormat="1" applyFont="1" applyAlignment="1">
      <alignment horizontal="center"/>
    </xf>
    <xf numFmtId="4" fontId="58" fillId="0" borderId="0" xfId="0" applyNumberFormat="1" applyFont="1"/>
    <xf numFmtId="0" fontId="58" fillId="0" borderId="0" xfId="0" applyFont="1" applyAlignment="1">
      <alignment horizontal="center"/>
    </xf>
    <xf numFmtId="188" fontId="58" fillId="0" borderId="0" xfId="0" applyNumberFormat="1" applyFont="1"/>
    <xf numFmtId="1" fontId="58" fillId="0" borderId="0" xfId="0" applyNumberFormat="1" applyFont="1"/>
    <xf numFmtId="186" fontId="58" fillId="0" borderId="0" xfId="0" applyNumberFormat="1" applyFont="1"/>
    <xf numFmtId="0" fontId="58" fillId="0" borderId="12" xfId="0" applyFont="1" applyFill="1" applyBorder="1" applyAlignment="1">
      <alignment horizontal="center" vertical="center" wrapText="1"/>
    </xf>
    <xf numFmtId="0" fontId="58" fillId="0" borderId="0" xfId="0" applyFont="1" applyFill="1" applyAlignment="1">
      <alignment vertical="center" wrapText="1"/>
    </xf>
    <xf numFmtId="0" fontId="58" fillId="0" borderId="0" xfId="0" applyFont="1" applyFill="1"/>
    <xf numFmtId="1" fontId="58" fillId="0" borderId="12" xfId="0" applyNumberFormat="1" applyFont="1" applyFill="1" applyBorder="1"/>
    <xf numFmtId="2" fontId="58" fillId="0" borderId="12" xfId="0" applyNumberFormat="1" applyFont="1" applyFill="1" applyBorder="1" applyAlignment="1">
      <alignment horizontal="center"/>
    </xf>
    <xf numFmtId="3" fontId="58" fillId="0" borderId="12" xfId="0" applyNumberFormat="1" applyFont="1" applyFill="1" applyBorder="1" applyAlignment="1">
      <alignment horizontal="center" vertical="center" wrapText="1"/>
    </xf>
    <xf numFmtId="0" fontId="41" fillId="13" borderId="9" xfId="0" applyFont="1" applyFill="1" applyBorder="1" applyAlignment="1">
      <alignment horizontal="center" vertical="center" wrapText="1"/>
    </xf>
    <xf numFmtId="0" fontId="41" fillId="13" borderId="17" xfId="0" applyFont="1" applyFill="1" applyBorder="1" applyAlignment="1">
      <alignment horizontal="center" vertical="center"/>
    </xf>
    <xf numFmtId="0" fontId="58" fillId="0" borderId="10" xfId="0" applyFont="1" applyBorder="1"/>
    <xf numFmtId="2" fontId="58" fillId="0" borderId="10" xfId="0" applyNumberFormat="1" applyFont="1" applyFill="1" applyBorder="1" applyAlignment="1">
      <alignment horizontal="center"/>
    </xf>
    <xf numFmtId="0" fontId="58" fillId="0" borderId="0" xfId="0" applyFont="1" applyBorder="1"/>
    <xf numFmtId="2" fontId="58" fillId="0" borderId="0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left" vertical="center" wrapText="1"/>
    </xf>
    <xf numFmtId="3" fontId="41" fillId="2" borderId="20" xfId="0" applyNumberFormat="1" applyFont="1" applyFill="1" applyBorder="1" applyAlignment="1">
      <alignment horizontal="center" vertical="center" wrapText="1"/>
    </xf>
    <xf numFmtId="3" fontId="41" fillId="2" borderId="8" xfId="0" applyNumberFormat="1" applyFont="1" applyFill="1" applyBorder="1" applyAlignment="1">
      <alignment horizontal="center" vertical="center" wrapText="1"/>
    </xf>
    <xf numFmtId="3" fontId="0" fillId="0" borderId="8" xfId="0" applyNumberFormat="1" applyBorder="1" applyAlignment="1">
      <alignment horizontal="center" vertical="center"/>
    </xf>
    <xf numFmtId="3" fontId="41" fillId="2" borderId="8" xfId="0" applyNumberFormat="1" applyFont="1" applyFill="1" applyBorder="1" applyAlignment="1">
      <alignment horizontal="center" vertical="center"/>
    </xf>
    <xf numFmtId="187" fontId="0" fillId="0" borderId="12" xfId="0" applyNumberFormat="1" applyBorder="1"/>
    <xf numFmtId="3" fontId="41" fillId="2" borderId="21" xfId="0" applyNumberFormat="1" applyFont="1" applyFill="1" applyBorder="1" applyAlignment="1">
      <alignment horizontal="center" vertical="center" wrapText="1"/>
    </xf>
    <xf numFmtId="0" fontId="52" fillId="0" borderId="0" xfId="0" applyFont="1"/>
    <xf numFmtId="0" fontId="61" fillId="15" borderId="0" xfId="0" applyFont="1" applyFill="1" applyAlignment="1">
      <alignment vertical="center" wrapText="1"/>
    </xf>
    <xf numFmtId="0" fontId="61" fillId="15" borderId="22" xfId="0" applyFont="1" applyFill="1" applyBorder="1" applyAlignment="1">
      <alignment vertical="center" wrapText="1"/>
    </xf>
    <xf numFmtId="0" fontId="61" fillId="15" borderId="23" xfId="0" applyFont="1" applyFill="1" applyBorder="1" applyAlignment="1">
      <alignment vertical="center" wrapText="1"/>
    </xf>
    <xf numFmtId="0" fontId="61" fillId="15" borderId="24" xfId="0" applyFont="1" applyFill="1" applyBorder="1" applyAlignment="1">
      <alignment vertical="center" wrapText="1"/>
    </xf>
    <xf numFmtId="0" fontId="61" fillId="15" borderId="0" xfId="0" applyFont="1" applyFill="1" applyBorder="1" applyAlignment="1">
      <alignment horizontal="center" vertical="center" wrapText="1"/>
    </xf>
    <xf numFmtId="0" fontId="55" fillId="7" borderId="0" xfId="0" applyFont="1" applyFill="1"/>
    <xf numFmtId="0" fontId="55" fillId="0" borderId="25" xfId="0" applyFont="1" applyBorder="1"/>
    <xf numFmtId="0" fontId="55" fillId="0" borderId="0" xfId="0" applyFont="1" applyBorder="1"/>
    <xf numFmtId="0" fontId="55" fillId="0" borderId="26" xfId="0" applyFont="1" applyBorder="1"/>
    <xf numFmtId="0" fontId="14" fillId="7" borderId="0" xfId="0" applyFont="1" applyFill="1"/>
    <xf numFmtId="191" fontId="55" fillId="0" borderId="25" xfId="0" applyNumberFormat="1" applyFont="1" applyBorder="1"/>
    <xf numFmtId="191" fontId="55" fillId="0" borderId="0" xfId="0" applyNumberFormat="1" applyFont="1" applyBorder="1"/>
    <xf numFmtId="191" fontId="55" fillId="0" borderId="26" xfId="0" applyNumberFormat="1" applyFont="1" applyBorder="1"/>
    <xf numFmtId="192" fontId="55" fillId="0" borderId="25" xfId="0" applyNumberFormat="1" applyFont="1" applyBorder="1"/>
    <xf numFmtId="192" fontId="55" fillId="0" borderId="0" xfId="0" applyNumberFormat="1" applyFont="1" applyBorder="1"/>
    <xf numFmtId="192" fontId="55" fillId="0" borderId="26" xfId="0" applyNumberFormat="1" applyFont="1" applyBorder="1"/>
    <xf numFmtId="0" fontId="55" fillId="14" borderId="0" xfId="0" applyFont="1" applyFill="1"/>
    <xf numFmtId="192" fontId="55" fillId="14" borderId="25" xfId="0" applyNumberFormat="1" applyFont="1" applyFill="1" applyBorder="1"/>
    <xf numFmtId="192" fontId="55" fillId="14" borderId="0" xfId="0" applyNumberFormat="1" applyFont="1" applyFill="1" applyBorder="1"/>
    <xf numFmtId="192" fontId="55" fillId="14" borderId="26" xfId="0" applyNumberFormat="1" applyFont="1" applyFill="1" applyBorder="1"/>
    <xf numFmtId="10" fontId="0" fillId="14" borderId="0" xfId="0" applyNumberFormat="1" applyFill="1"/>
    <xf numFmtId="10" fontId="0" fillId="0" borderId="0" xfId="0" applyNumberFormat="1" applyFill="1"/>
    <xf numFmtId="192" fontId="0" fillId="0" borderId="12" xfId="0" applyNumberFormat="1" applyBorder="1"/>
    <xf numFmtId="10" fontId="0" fillId="0" borderId="12" xfId="0" applyNumberFormat="1" applyFill="1" applyBorder="1"/>
    <xf numFmtId="0" fontId="0" fillId="16" borderId="0" xfId="0" applyFill="1"/>
    <xf numFmtId="0" fontId="58" fillId="0" borderId="11" xfId="0" applyFont="1" applyBorder="1"/>
    <xf numFmtId="0" fontId="0" fillId="0" borderId="27" xfId="0" applyFill="1" applyBorder="1" applyAlignment="1">
      <alignment horizontal="center" vertical="center" wrapText="1"/>
    </xf>
    <xf numFmtId="3" fontId="0" fillId="0" borderId="12" xfId="0" applyNumberFormat="1" applyBorder="1"/>
    <xf numFmtId="3" fontId="0" fillId="11" borderId="12" xfId="0" applyNumberFormat="1" applyFill="1" applyBorder="1" applyAlignment="1">
      <alignment horizontal="center"/>
    </xf>
    <xf numFmtId="10" fontId="0" fillId="11" borderId="12" xfId="0" applyNumberFormat="1" applyFill="1" applyBorder="1"/>
    <xf numFmtId="1" fontId="0" fillId="0" borderId="11" xfId="0" applyNumberFormat="1" applyBorder="1"/>
    <xf numFmtId="3" fontId="2" fillId="0" borderId="10" xfId="0" applyNumberFormat="1" applyFont="1" applyBorder="1" applyAlignment="1">
      <alignment horizontal="center" vertical="center" wrapText="1"/>
    </xf>
    <xf numFmtId="3" fontId="2" fillId="0" borderId="20" xfId="0" applyNumberFormat="1" applyFont="1" applyBorder="1" applyAlignment="1">
      <alignment horizontal="center" vertical="center" textRotation="90" wrapText="1"/>
    </xf>
    <xf numFmtId="3" fontId="2" fillId="0" borderId="17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3" fontId="2" fillId="0" borderId="21" xfId="0" applyNumberFormat="1" applyFont="1" applyBorder="1" applyAlignment="1">
      <alignment horizontal="center" vertical="center" wrapText="1"/>
    </xf>
    <xf numFmtId="3" fontId="2" fillId="0" borderId="27" xfId="0" applyNumberFormat="1" applyFont="1" applyBorder="1" applyAlignment="1">
      <alignment horizontal="center" vertical="center" wrapText="1"/>
    </xf>
    <xf numFmtId="0" fontId="41" fillId="0" borderId="11" xfId="0" applyFont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2" fontId="0" fillId="16" borderId="0" xfId="0" applyNumberFormat="1" applyFill="1"/>
    <xf numFmtId="3" fontId="64" fillId="0" borderId="0" xfId="0" applyNumberFormat="1" applyFont="1" applyAlignment="1">
      <alignment horizontal="center" vertical="center" wrapText="1"/>
    </xf>
    <xf numFmtId="49" fontId="10" fillId="0" borderId="0" xfId="0" applyNumberFormat="1" applyFont="1" applyBorder="1" applyAlignment="1" applyProtection="1">
      <alignment horizontal="right" vertical="center"/>
    </xf>
    <xf numFmtId="1" fontId="5" fillId="0" borderId="0" xfId="0" applyNumberFormat="1" applyFont="1" applyBorder="1" applyAlignment="1" applyProtection="1">
      <alignment horizontal="right"/>
    </xf>
    <xf numFmtId="0" fontId="0" fillId="2" borderId="0" xfId="0" applyFill="1" applyAlignment="1">
      <alignment horizontal="right"/>
    </xf>
    <xf numFmtId="0" fontId="10" fillId="0" borderId="0" xfId="0" applyFont="1" applyFill="1" applyBorder="1" applyAlignment="1" applyProtection="1">
      <alignment horizontal="right" vertical="center"/>
    </xf>
    <xf numFmtId="3" fontId="65" fillId="0" borderId="26" xfId="0" applyNumberFormat="1" applyFont="1" applyFill="1" applyBorder="1" applyAlignment="1"/>
    <xf numFmtId="3" fontId="47" fillId="0" borderId="0" xfId="2" applyNumberFormat="1" applyBorder="1" applyAlignment="1" applyProtection="1">
      <alignment horizontal="center" vertical="center"/>
    </xf>
    <xf numFmtId="1" fontId="11" fillId="0" borderId="0" xfId="8" applyNumberFormat="1" applyFont="1" applyBorder="1" applyAlignment="1">
      <alignment horizontal="right"/>
    </xf>
    <xf numFmtId="0" fontId="52" fillId="0" borderId="0" xfId="21" quotePrefix="1" applyNumberFormat="1" applyFont="1" applyFill="1" applyAlignment="1">
      <alignment horizontal="right"/>
    </xf>
    <xf numFmtId="182" fontId="66" fillId="2" borderId="0" xfId="0" applyNumberFormat="1" applyFont="1" applyFill="1" applyBorder="1"/>
    <xf numFmtId="0" fontId="10" fillId="0" borderId="0" xfId="17" applyFont="1" applyBorder="1" applyAlignment="1" applyProtection="1">
      <alignment horizontal="right" vertical="center"/>
    </xf>
    <xf numFmtId="3" fontId="11" fillId="2" borderId="0" xfId="17" applyNumberFormat="1" applyFont="1" applyFill="1" applyBorder="1" applyAlignment="1">
      <alignment horizontal="right"/>
    </xf>
    <xf numFmtId="3" fontId="11" fillId="0" borderId="0" xfId="16" applyNumberFormat="1" applyFont="1" applyFill="1" applyBorder="1" applyAlignment="1" applyProtection="1">
      <alignment horizontal="right"/>
    </xf>
    <xf numFmtId="190" fontId="67" fillId="13" borderId="0" xfId="4" applyNumberFormat="1" applyFont="1" applyFill="1" applyBorder="1"/>
    <xf numFmtId="0" fontId="53" fillId="0" borderId="0" xfId="0" applyFont="1" applyFill="1"/>
    <xf numFmtId="0" fontId="5" fillId="0" borderId="0" xfId="12" applyFont="1" applyBorder="1" applyAlignment="1" applyProtection="1">
      <alignment horizontal="left"/>
    </xf>
    <xf numFmtId="193" fontId="0" fillId="0" borderId="0" xfId="0" applyNumberFormat="1"/>
    <xf numFmtId="0" fontId="49" fillId="0" borderId="0" xfId="3" applyBorder="1"/>
    <xf numFmtId="1" fontId="49" fillId="0" borderId="0" xfId="3" applyNumberFormat="1" applyBorder="1"/>
    <xf numFmtId="0" fontId="49" fillId="0" borderId="0" xfId="3"/>
    <xf numFmtId="183" fontId="69" fillId="0" borderId="0" xfId="3" applyNumberFormat="1" applyFont="1" applyFill="1" applyBorder="1" applyAlignment="1">
      <alignment horizontal="center"/>
    </xf>
    <xf numFmtId="1" fontId="49" fillId="0" borderId="0" xfId="3" applyNumberFormat="1"/>
    <xf numFmtId="194" fontId="49" fillId="0" borderId="0" xfId="3" applyNumberFormat="1"/>
    <xf numFmtId="194" fontId="49" fillId="0" borderId="0" xfId="3" applyNumberFormat="1" applyFont="1"/>
    <xf numFmtId="0" fontId="49" fillId="0" borderId="0" xfId="3" applyFont="1"/>
    <xf numFmtId="1" fontId="49" fillId="0" borderId="0" xfId="3" applyNumberFormat="1" applyFont="1" applyBorder="1"/>
    <xf numFmtId="0" fontId="0" fillId="0" borderId="0" xfId="0" applyFill="1" applyBorder="1" applyAlignment="1">
      <alignment horizontal="center"/>
    </xf>
    <xf numFmtId="3" fontId="0" fillId="0" borderId="0" xfId="0" applyNumberFormat="1" applyFill="1"/>
    <xf numFmtId="49" fontId="58" fillId="0" borderId="0" xfId="0" applyNumberFormat="1" applyFont="1"/>
    <xf numFmtId="193" fontId="58" fillId="0" borderId="0" xfId="0" applyNumberFormat="1" applyFont="1"/>
    <xf numFmtId="1" fontId="58" fillId="0" borderId="0" xfId="0" applyNumberFormat="1" applyFont="1" applyAlignment="1">
      <alignment horizontal="left"/>
    </xf>
    <xf numFmtId="3" fontId="58" fillId="0" borderId="0" xfId="0" applyNumberFormat="1" applyFont="1" applyAlignment="1">
      <alignment horizontal="left"/>
    </xf>
    <xf numFmtId="0" fontId="58" fillId="0" borderId="0" xfId="0" applyFont="1" applyAlignment="1">
      <alignment horizontal="left"/>
    </xf>
    <xf numFmtId="190" fontId="67" fillId="13" borderId="28" xfId="20" applyNumberFormat="1" applyFont="1" applyFill="1" applyBorder="1"/>
    <xf numFmtId="190" fontId="70" fillId="13" borderId="28" xfId="20" applyNumberFormat="1" applyFont="1" applyFill="1" applyBorder="1"/>
    <xf numFmtId="196" fontId="0" fillId="0" borderId="0" xfId="0" applyNumberFormat="1"/>
    <xf numFmtId="188" fontId="2" fillId="0" borderId="0" xfId="0" applyNumberFormat="1" applyFont="1" applyAlignment="1">
      <alignment horizontal="center" vertical="center" wrapText="1"/>
    </xf>
    <xf numFmtId="3" fontId="58" fillId="0" borderId="11" xfId="0" applyNumberFormat="1" applyFont="1" applyBorder="1"/>
    <xf numFmtId="1" fontId="58" fillId="16" borderId="0" xfId="0" applyNumberFormat="1" applyFont="1" applyFill="1"/>
    <xf numFmtId="0" fontId="58" fillId="16" borderId="0" xfId="0" applyFont="1" applyFill="1"/>
    <xf numFmtId="189" fontId="41" fillId="13" borderId="8" xfId="0" applyNumberFormat="1" applyFont="1" applyFill="1" applyBorder="1" applyAlignment="1">
      <alignment horizontal="center" vertical="center" wrapText="1"/>
    </xf>
    <xf numFmtId="0" fontId="71" fillId="13" borderId="27" xfId="0" applyFont="1" applyFill="1" applyBorder="1" applyAlignment="1">
      <alignment horizontal="center" vertical="center" wrapText="1"/>
    </xf>
    <xf numFmtId="0" fontId="71" fillId="13" borderId="9" xfId="0" applyFont="1" applyFill="1" applyBorder="1" applyAlignment="1">
      <alignment horizontal="center" vertical="center" wrapText="1"/>
    </xf>
    <xf numFmtId="0" fontId="71" fillId="13" borderId="17" xfId="0" applyFont="1" applyFill="1" applyBorder="1" applyAlignment="1">
      <alignment horizontal="center" vertical="center" wrapText="1"/>
    </xf>
    <xf numFmtId="0" fontId="71" fillId="13" borderId="0" xfId="0" applyFont="1" applyFill="1" applyAlignment="1">
      <alignment horizontal="center" vertical="center" wrapText="1"/>
    </xf>
    <xf numFmtId="0" fontId="71" fillId="13" borderId="21" xfId="0" applyFont="1" applyFill="1" applyBorder="1" applyAlignment="1">
      <alignment horizontal="center" vertical="center" wrapText="1"/>
    </xf>
    <xf numFmtId="0" fontId="71" fillId="13" borderId="8" xfId="0" applyFont="1" applyFill="1" applyBorder="1" applyAlignment="1">
      <alignment horizontal="center" vertical="center" wrapText="1"/>
    </xf>
    <xf numFmtId="188" fontId="41" fillId="0" borderId="0" xfId="0" applyNumberFormat="1" applyFont="1" applyAlignment="1">
      <alignment horizontal="center" vertical="center"/>
    </xf>
    <xf numFmtId="0" fontId="73" fillId="0" borderId="8" xfId="0" applyFont="1" applyBorder="1" applyAlignment="1">
      <alignment horizontal="center"/>
    </xf>
    <xf numFmtId="3" fontId="36" fillId="0" borderId="0" xfId="0" applyNumberFormat="1" applyFont="1" applyBorder="1" applyAlignment="1">
      <alignment horizontal="center" vertical="center" wrapText="1"/>
    </xf>
    <xf numFmtId="3" fontId="36" fillId="0" borderId="0" xfId="0" applyNumberFormat="1" applyFont="1" applyAlignment="1">
      <alignment horizontal="left" vertical="center" wrapText="1"/>
    </xf>
    <xf numFmtId="3" fontId="36" fillId="0" borderId="0" xfId="0" applyNumberFormat="1" applyFont="1" applyFill="1" applyAlignment="1">
      <alignment horizontal="center" vertical="center" wrapText="1"/>
    </xf>
    <xf numFmtId="0" fontId="73" fillId="0" borderId="8" xfId="0" applyFont="1" applyBorder="1"/>
    <xf numFmtId="3" fontId="36" fillId="0" borderId="0" xfId="0" applyNumberFormat="1" applyFont="1" applyFill="1" applyBorder="1" applyAlignment="1">
      <alignment horizontal="center" vertical="center" wrapText="1"/>
    </xf>
    <xf numFmtId="0" fontId="36" fillId="0" borderId="20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36" fillId="0" borderId="21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1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textRotation="90" wrapText="1"/>
    </xf>
    <xf numFmtId="0" fontId="36" fillId="0" borderId="9" xfId="0" applyFont="1" applyBorder="1" applyAlignment="1">
      <alignment horizontal="center" vertical="center" textRotation="90" wrapText="1"/>
    </xf>
    <xf numFmtId="0" fontId="36" fillId="0" borderId="27" xfId="0" applyFont="1" applyBorder="1" applyAlignment="1">
      <alignment horizontal="center" vertical="center" textRotation="90" wrapText="1"/>
    </xf>
    <xf numFmtId="0" fontId="36" fillId="0" borderId="17" xfId="0" applyFont="1" applyBorder="1" applyAlignment="1">
      <alignment horizontal="center" vertical="center" textRotation="90" wrapText="1"/>
    </xf>
    <xf numFmtId="0" fontId="36" fillId="0" borderId="27" xfId="0" applyFont="1" applyBorder="1" applyAlignment="1">
      <alignment horizontal="center" vertical="center" wrapText="1"/>
    </xf>
    <xf numFmtId="0" fontId="41" fillId="0" borderId="0" xfId="0" applyFont="1" applyAlignment="1">
      <alignment horizontal="left" vertical="center" wrapText="1"/>
    </xf>
    <xf numFmtId="0" fontId="41" fillId="0" borderId="0" xfId="0" applyFont="1" applyAlignment="1">
      <alignment horizontal="center" vertical="center" wrapText="1"/>
    </xf>
    <xf numFmtId="0" fontId="71" fillId="13" borderId="20" xfId="0" applyFont="1" applyFill="1" applyBorder="1" applyAlignment="1">
      <alignment horizontal="center" vertical="center" wrapText="1"/>
    </xf>
    <xf numFmtId="0" fontId="71" fillId="13" borderId="12" xfId="0" applyFont="1" applyFill="1" applyBorder="1" applyAlignment="1">
      <alignment horizontal="center" vertical="center" wrapText="1"/>
    </xf>
    <xf numFmtId="0" fontId="71" fillId="13" borderId="21" xfId="0" applyFont="1" applyFill="1" applyBorder="1" applyAlignment="1">
      <alignment horizontal="center" vertical="center" wrapText="1"/>
    </xf>
    <xf numFmtId="0" fontId="41" fillId="13" borderId="0" xfId="0" applyFont="1" applyFill="1" applyAlignment="1">
      <alignment horizontal="center" vertical="center" wrapText="1"/>
    </xf>
    <xf numFmtId="0" fontId="71" fillId="13" borderId="9" xfId="0" applyFont="1" applyFill="1" applyBorder="1" applyAlignment="1">
      <alignment horizontal="center" vertical="center" wrapText="1"/>
    </xf>
    <xf numFmtId="0" fontId="71" fillId="13" borderId="17" xfId="0" applyFont="1" applyFill="1" applyBorder="1" applyAlignment="1">
      <alignment horizontal="center" vertical="center" wrapText="1"/>
    </xf>
    <xf numFmtId="0" fontId="72" fillId="13" borderId="8" xfId="0" applyFont="1" applyFill="1" applyBorder="1" applyAlignment="1">
      <alignment horizontal="center" vertical="center" textRotation="90" wrapText="1"/>
    </xf>
    <xf numFmtId="0" fontId="71" fillId="13" borderId="9" xfId="0" applyFont="1" applyFill="1" applyBorder="1" applyAlignment="1">
      <alignment horizontal="center" vertical="center" textRotation="90" wrapText="1"/>
    </xf>
    <xf numFmtId="0" fontId="71" fillId="13" borderId="27" xfId="0" applyFont="1" applyFill="1" applyBorder="1" applyAlignment="1">
      <alignment horizontal="center" vertical="center" textRotation="90" wrapText="1"/>
    </xf>
    <xf numFmtId="0" fontId="71" fillId="13" borderId="17" xfId="0" applyFont="1" applyFill="1" applyBorder="1" applyAlignment="1">
      <alignment horizontal="center" vertical="center" textRotation="90" wrapText="1"/>
    </xf>
    <xf numFmtId="0" fontId="72" fillId="13" borderId="20" xfId="0" applyFont="1" applyFill="1" applyBorder="1" applyAlignment="1">
      <alignment horizontal="center" vertical="center" wrapText="1"/>
    </xf>
    <xf numFmtId="0" fontId="72" fillId="13" borderId="12" xfId="0" applyFont="1" applyFill="1" applyBorder="1" applyAlignment="1">
      <alignment horizontal="center" vertical="center" wrapText="1"/>
    </xf>
    <xf numFmtId="0" fontId="72" fillId="13" borderId="21" xfId="0" applyFont="1" applyFill="1" applyBorder="1" applyAlignment="1">
      <alignment horizontal="center" vertical="center" wrapText="1"/>
    </xf>
    <xf numFmtId="0" fontId="71" fillId="13" borderId="27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3" fontId="2" fillId="0" borderId="13" xfId="0" applyNumberFormat="1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2" fillId="0" borderId="16" xfId="0" applyNumberFormat="1" applyFont="1" applyBorder="1" applyAlignment="1">
      <alignment horizontal="center" vertical="center" wrapText="1"/>
    </xf>
    <xf numFmtId="3" fontId="2" fillId="0" borderId="29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28" xfId="0" applyNumberFormat="1" applyFont="1" applyBorder="1" applyAlignment="1">
      <alignment horizontal="center" vertical="center" wrapText="1"/>
    </xf>
    <xf numFmtId="3" fontId="2" fillId="0" borderId="14" xfId="0" applyNumberFormat="1" applyFont="1" applyBorder="1" applyAlignment="1">
      <alignment horizontal="center" vertical="center" wrapText="1"/>
    </xf>
    <xf numFmtId="3" fontId="2" fillId="0" borderId="11" xfId="0" applyNumberFormat="1" applyFont="1" applyBorder="1" applyAlignment="1">
      <alignment horizontal="center" vertical="center" wrapText="1"/>
    </xf>
    <xf numFmtId="3" fontId="2" fillId="0" borderId="15" xfId="0" applyNumberFormat="1" applyFont="1" applyBorder="1" applyAlignment="1">
      <alignment horizontal="center" vertical="center" wrapText="1"/>
    </xf>
    <xf numFmtId="3" fontId="2" fillId="0" borderId="9" xfId="0" applyNumberFormat="1" applyFont="1" applyBorder="1" applyAlignment="1">
      <alignment horizontal="center" vertical="center" wrapText="1"/>
    </xf>
    <xf numFmtId="3" fontId="2" fillId="0" borderId="27" xfId="0" applyNumberFormat="1" applyFont="1" applyBorder="1" applyAlignment="1">
      <alignment horizontal="center" vertical="center" wrapText="1"/>
    </xf>
    <xf numFmtId="3" fontId="2" fillId="0" borderId="17" xfId="0" applyNumberFormat="1" applyFont="1" applyBorder="1" applyAlignment="1">
      <alignment horizontal="center" vertical="center" wrapText="1"/>
    </xf>
    <xf numFmtId="3" fontId="2" fillId="0" borderId="20" xfId="0" applyNumberFormat="1" applyFont="1" applyBorder="1" applyAlignment="1">
      <alignment horizontal="center" vertical="center" wrapText="1"/>
    </xf>
    <xf numFmtId="3" fontId="2" fillId="0" borderId="12" xfId="0" applyNumberFormat="1" applyFont="1" applyBorder="1" applyAlignment="1">
      <alignment horizontal="center" vertical="center" wrapText="1"/>
    </xf>
    <xf numFmtId="3" fontId="2" fillId="0" borderId="13" xfId="0" applyNumberFormat="1" applyFont="1" applyFill="1" applyBorder="1" applyAlignment="1">
      <alignment horizontal="center" vertical="center" wrapText="1"/>
    </xf>
    <xf numFmtId="3" fontId="2" fillId="0" borderId="16" xfId="0" applyNumberFormat="1" applyFont="1" applyFill="1" applyBorder="1" applyAlignment="1">
      <alignment horizontal="center" vertical="center" wrapText="1"/>
    </xf>
    <xf numFmtId="3" fontId="2" fillId="0" borderId="29" xfId="0" applyNumberFormat="1" applyFont="1" applyFill="1" applyBorder="1" applyAlignment="1">
      <alignment horizontal="center" vertical="center" wrapText="1"/>
    </xf>
    <xf numFmtId="3" fontId="2" fillId="0" borderId="28" xfId="0" applyNumberFormat="1" applyFont="1" applyFill="1" applyBorder="1" applyAlignment="1">
      <alignment horizontal="center" vertical="center" wrapText="1"/>
    </xf>
    <xf numFmtId="3" fontId="2" fillId="0" borderId="14" xfId="0" applyNumberFormat="1" applyFont="1" applyFill="1" applyBorder="1" applyAlignment="1">
      <alignment horizontal="center" vertical="center" wrapText="1"/>
    </xf>
    <xf numFmtId="3" fontId="2" fillId="0" borderId="15" xfId="0" applyNumberFormat="1" applyFont="1" applyFill="1" applyBorder="1" applyAlignment="1">
      <alignment horizontal="center" vertical="center" wrapText="1"/>
    </xf>
    <xf numFmtId="0" fontId="57" fillId="0" borderId="8" xfId="0" applyFont="1" applyBorder="1" applyAlignment="1">
      <alignment horizontal="center"/>
    </xf>
    <xf numFmtId="3" fontId="2" fillId="0" borderId="8" xfId="0" applyNumberFormat="1" applyFont="1" applyBorder="1" applyAlignment="1">
      <alignment horizontal="center" vertical="center" textRotation="90" wrapText="1"/>
    </xf>
    <xf numFmtId="3" fontId="2" fillId="0" borderId="21" xfId="0" applyNumberFormat="1" applyFont="1" applyBorder="1" applyAlignment="1">
      <alignment horizontal="center" vertical="center" wrapText="1"/>
    </xf>
    <xf numFmtId="3" fontId="2" fillId="0" borderId="13" xfId="0" applyNumberFormat="1" applyFont="1" applyBorder="1" applyAlignment="1">
      <alignment horizontal="center" vertical="center" textRotation="90" wrapText="1"/>
    </xf>
    <xf numFmtId="3" fontId="2" fillId="0" borderId="10" xfId="0" applyNumberFormat="1" applyFont="1" applyBorder="1" applyAlignment="1">
      <alignment horizontal="center" vertical="center" textRotation="90" wrapText="1"/>
    </xf>
    <xf numFmtId="3" fontId="2" fillId="0" borderId="16" xfId="0" applyNumberFormat="1" applyFont="1" applyBorder="1" applyAlignment="1">
      <alignment horizontal="center" vertical="center" textRotation="90" wrapText="1"/>
    </xf>
    <xf numFmtId="3" fontId="2" fillId="0" borderId="29" xfId="0" applyNumberFormat="1" applyFont="1" applyBorder="1" applyAlignment="1">
      <alignment horizontal="center" vertical="center" textRotation="90" wrapText="1"/>
    </xf>
    <xf numFmtId="3" fontId="2" fillId="0" borderId="0" xfId="0" applyNumberFormat="1" applyFont="1" applyBorder="1" applyAlignment="1">
      <alignment horizontal="center" vertical="center" textRotation="90" wrapText="1"/>
    </xf>
    <xf numFmtId="3" fontId="2" fillId="0" borderId="28" xfId="0" applyNumberFormat="1" applyFont="1" applyBorder="1" applyAlignment="1">
      <alignment horizontal="center" vertical="center" textRotation="90" wrapText="1"/>
    </xf>
    <xf numFmtId="3" fontId="2" fillId="0" borderId="0" xfId="0" applyNumberFormat="1" applyFont="1" applyFill="1" applyAlignment="1">
      <alignment horizontal="center" vertical="center" wrapText="1"/>
    </xf>
    <xf numFmtId="3" fontId="2" fillId="10" borderId="0" xfId="0" applyNumberFormat="1" applyFont="1" applyFill="1" applyAlignment="1">
      <alignment horizontal="left" vertical="center" wrapText="1"/>
    </xf>
    <xf numFmtId="0" fontId="41" fillId="13" borderId="9" xfId="0" applyFont="1" applyFill="1" applyBorder="1" applyAlignment="1">
      <alignment horizontal="center" vertical="center" wrapText="1"/>
    </xf>
    <xf numFmtId="0" fontId="41" fillId="13" borderId="27" xfId="0" applyFont="1" applyFill="1" applyBorder="1" applyAlignment="1">
      <alignment horizontal="center" vertical="center" wrapText="1"/>
    </xf>
    <xf numFmtId="0" fontId="41" fillId="13" borderId="17" xfId="0" applyFont="1" applyFill="1" applyBorder="1" applyAlignment="1">
      <alignment horizontal="center" vertical="center" wrapText="1"/>
    </xf>
    <xf numFmtId="3" fontId="2" fillId="10" borderId="0" xfId="0" applyNumberFormat="1" applyFont="1" applyFill="1" applyAlignment="1">
      <alignment horizontal="left" vertical="justify" wrapText="1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12" xfId="0" applyNumberFormat="1" applyBorder="1" applyAlignment="1">
      <alignment horizontal="center"/>
    </xf>
    <xf numFmtId="183" fontId="50" fillId="0" borderId="0" xfId="0" applyNumberFormat="1" applyFont="1" applyFill="1" applyAlignment="1" applyProtection="1"/>
    <xf numFmtId="0" fontId="50" fillId="0" borderId="0" xfId="0" applyFont="1" applyAlignment="1"/>
    <xf numFmtId="0" fontId="10" fillId="0" borderId="0" xfId="6" applyFont="1" applyFill="1" applyBorder="1" applyAlignment="1" applyProtection="1">
      <alignment horizontal="center" vertical="center"/>
    </xf>
    <xf numFmtId="0" fontId="10" fillId="0" borderId="5" xfId="6" applyFont="1" applyFill="1" applyBorder="1" applyAlignment="1" applyProtection="1">
      <alignment horizontal="center" vertical="center"/>
    </xf>
    <xf numFmtId="0" fontId="10" fillId="0" borderId="1" xfId="10" applyFont="1" applyBorder="1" applyAlignment="1" applyProtection="1">
      <alignment horizontal="center" vertical="center"/>
    </xf>
    <xf numFmtId="0" fontId="0" fillId="0" borderId="3" xfId="0" applyBorder="1" applyAlignment="1">
      <alignment horizontal="center" vertical="center"/>
    </xf>
    <xf numFmtId="0" fontId="10" fillId="0" borderId="5" xfId="8" applyFont="1" applyBorder="1" applyAlignment="1">
      <alignment horizontal="center" vertical="center"/>
    </xf>
    <xf numFmtId="1" fontId="18" fillId="7" borderId="30" xfId="10" applyNumberFormat="1" applyFont="1" applyFill="1" applyBorder="1" applyAlignment="1" applyProtection="1">
      <alignment horizontal="left" vertical="justify"/>
    </xf>
    <xf numFmtId="0" fontId="0" fillId="7" borderId="2" xfId="0" applyFill="1" applyBorder="1" applyAlignment="1">
      <alignment horizontal="left" vertical="justify"/>
    </xf>
    <xf numFmtId="0" fontId="0" fillId="7" borderId="29" xfId="0" applyFill="1" applyBorder="1" applyAlignment="1">
      <alignment horizontal="left" vertical="justify"/>
    </xf>
    <xf numFmtId="0" fontId="0" fillId="7" borderId="0" xfId="0" applyFill="1" applyAlignment="1">
      <alignment horizontal="left" vertical="justify"/>
    </xf>
    <xf numFmtId="0" fontId="10" fillId="2" borderId="2" xfId="6" applyFont="1" applyFill="1" applyBorder="1" applyAlignment="1" applyProtection="1">
      <alignment horizontal="center" vertical="center"/>
    </xf>
    <xf numFmtId="0" fontId="14" fillId="7" borderId="0" xfId="0" applyFont="1" applyFill="1" applyAlignment="1">
      <alignment horizontal="center"/>
    </xf>
  </cellXfs>
  <cellStyles count="22">
    <cellStyle name="Comma" xfId="1" builtinId="3"/>
    <cellStyle name="Hyperlink" xfId="2" builtinId="8"/>
    <cellStyle name="Normal" xfId="0" builtinId="0"/>
    <cellStyle name="Normal_Descomposicion (PBI-EXP-IMP)" xfId="3" xr:uid="{C9F9A799-5C42-45C3-92F6-5AC8FC3032E2}"/>
    <cellStyle name="Normal_FORMATOS BCRP" xfId="4" xr:uid="{74D60AA3-D38F-4BE7-A386-B1B68114B2E7}"/>
    <cellStyle name="Normal_IEC21001" xfId="5" xr:uid="{BDEDC901-9E92-435D-A9A7-D0961B33E7A2}"/>
    <cellStyle name="Normal_IEC21002" xfId="6" xr:uid="{6636DBB5-049A-4590-AC14-8D57ED338F53}"/>
    <cellStyle name="Normal_IEC21004" xfId="7" xr:uid="{5BBE9B45-BCDB-4C95-8C4F-226A1B466BC9}"/>
    <cellStyle name="Normal_IEC21006" xfId="8" xr:uid="{D7EC4523-A325-4714-898E-C6FC26AE9A98}"/>
    <cellStyle name="Normal_IEC21008" xfId="9" xr:uid="{9B284C68-754C-49B3-8A6D-37624FFAF733}"/>
    <cellStyle name="Normal_IEC21010" xfId="10" xr:uid="{62D29CF6-7BF3-4C3C-82F4-AE95A5E94778}"/>
    <cellStyle name="Normal_IEC21011" xfId="11" xr:uid="{B4BC84FF-A645-47DD-B077-8B687EE63596}"/>
    <cellStyle name="Normal_IEC21012" xfId="12" xr:uid="{62F6F2F1-E428-4377-9D06-AD527422D9DE}"/>
    <cellStyle name="Normal_IEC21013" xfId="13" xr:uid="{D1B75D91-DA59-4FD5-BAF9-6AD8371B9F69}"/>
    <cellStyle name="Normal_IEC21014" xfId="14" xr:uid="{ED34983F-5739-4B78-AF9E-CF38DC62A4AA}"/>
    <cellStyle name="Normal_IEC21015" xfId="15" xr:uid="{52981FB9-3238-474E-AD0A-035DF0E44EDA}"/>
    <cellStyle name="Normal_IEC21019" xfId="16" xr:uid="{E018333F-0FE7-44A0-A7E6-2EB392434E06}"/>
    <cellStyle name="Normal_IEC21022" xfId="17" xr:uid="{87BAB9E2-79F7-4EF5-9166-5DA3BE7930B6}"/>
    <cellStyle name="Normal_IEC21030" xfId="18" xr:uid="{1515E5BF-5A97-4A28-80EA-2062C95BD66A}"/>
    <cellStyle name="Normal_IEC21032" xfId="19" xr:uid="{6EB2156F-B2ED-4766-A228-80964A347775}"/>
    <cellStyle name="Normal_MEF BOOK CONSOLIDADO OCT2004" xfId="20" xr:uid="{70438F5F-5A8F-4886-99F5-27FD6B4F8E86}"/>
    <cellStyle name="Normal_opr. gob. gen. y sector no fin." xfId="21" xr:uid="{1BDAEA2C-5A6A-49E3-9888-1161C6C5E352}"/>
  </cellStyles>
  <dxfs count="1">
    <dxf>
      <font>
        <strike val="0"/>
        <condense val="0"/>
        <extend val="0"/>
        <u val="none"/>
        <color indexed="9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9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externalLink" Target="externalLinks/externalLink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garelli/Configuraci&#243;n%20local/Archivos%20temporales%20de%20Internet/Content.IE5/YTK9894D/Otros%20SA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garelli/Configuraci&#243;n%20local/Archivos%20temporales%20de%20Internet/Content.IE5/YTK9894D/BIENES%20SERVICIOS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garelli/Configuraci&#243;n%20local/Archivos%20temporales%20de%20Internet/Content.IE5/YTK9894D/SAM%202003g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garelli/Configuraci&#243;n%20local/Archivos%20temporales%20de%20Internet/Content.IE5/57ZNLHGE/MEF_BOOK_%20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JMG/Apertura/Naciones%20unidas%20actualizado/Descomposicion%20(PBI-EXP-IMP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JMG/Apertura/Naciones%20unidas%20actualizado/Balanza%20y%20Cuentas%20nacionales%20(descomp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EF_BOOK_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Gasto%20hogares%202004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ociales%20por%20Func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mpuestos y der. import."/>
      <sheetName val="impuestos indirec. importados"/>
      <sheetName val="impuestos indirectos nacionales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ferta prec.prec prod"/>
      <sheetName val="oferta prec. comprador"/>
      <sheetName val="Valor agregado"/>
      <sheetName val="demanda precios básicos"/>
      <sheetName val="demanda final precios básicos"/>
      <sheetName val="matriz ins prod impuro"/>
      <sheetName val="dda intermedia precios prod"/>
      <sheetName val="dda final precios productor"/>
      <sheetName val="dda intermedia comprador"/>
      <sheetName val="dda final prec comprador"/>
      <sheetName val="Coeficientes técnicos"/>
    </sheetNames>
    <sheetDataSet>
      <sheetData sheetId="0" refreshError="1"/>
      <sheetData sheetId="1" refreshError="1"/>
      <sheetData sheetId="2" refreshError="1">
        <row r="2">
          <cell r="C2">
            <v>7620258486</v>
          </cell>
          <cell r="D2">
            <v>2623652431</v>
          </cell>
          <cell r="E2">
            <v>5662713749</v>
          </cell>
          <cell r="F2">
            <v>1868321737</v>
          </cell>
          <cell r="G2">
            <v>1380473238</v>
          </cell>
          <cell r="H2">
            <v>727982075</v>
          </cell>
          <cell r="I2">
            <v>1041753419</v>
          </cell>
          <cell r="J2">
            <v>1802101019</v>
          </cell>
          <cell r="K2">
            <v>3009700154</v>
          </cell>
          <cell r="L2">
            <v>782023908</v>
          </cell>
          <cell r="M2">
            <v>1547939347</v>
          </cell>
          <cell r="O2">
            <v>1894481756</v>
          </cell>
          <cell r="P2">
            <v>5612275837</v>
          </cell>
          <cell r="Q2">
            <v>14457795515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 (act y bienes)"/>
      <sheetName val="SAM macro"/>
      <sheetName val="SAM macrogs"/>
      <sheetName val="MICROSAM "/>
      <sheetName val="MICROSAMgs"/>
      <sheetName val="datos prec. compr."/>
      <sheetName val="precios bas."/>
      <sheetName val="Parámetros"/>
      <sheetName val="fonavi"/>
      <sheetName val="Matriz 15x15"/>
      <sheetName val="Trabajo por tipo"/>
      <sheetName val="Cuadro empleo"/>
      <sheetName val="ingresos (laborales)"/>
      <sheetName val="transferencias hogares"/>
      <sheetName val="Ingresos 1997"/>
      <sheetName val="utilidades distribuidas"/>
      <sheetName val="impuestos hogares"/>
      <sheetName val="transferencias gobieno"/>
      <sheetName val="balanza de pagos"/>
      <sheetName val="oferta-demanda"/>
      <sheetName val="crédito BCRP"/>
      <sheetName val="opr. gob. gen. y sector no fin."/>
      <sheetName val="ingresos gob. cent."/>
      <sheetName val="operaciones gob. cent."/>
      <sheetName val="operac. gob.  locales"/>
      <sheetName val="utilid empresas estatales"/>
      <sheetName val="gasto publico"/>
      <sheetName val="Programas sociales"/>
      <sheetName val="gasto gob. cent."/>
      <sheetName val="ingresos gobiern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9">
          <cell r="O19">
            <v>914.37434513709206</v>
          </cell>
        </row>
        <row r="23">
          <cell r="O23">
            <v>63.932999999999993</v>
          </cell>
        </row>
        <row r="28">
          <cell r="O28">
            <v>-478.82584999999898</v>
          </cell>
        </row>
        <row r="32">
          <cell r="O32">
            <v>561.17051165354223</v>
          </cell>
        </row>
        <row r="51">
          <cell r="O51">
            <v>3.35</v>
          </cell>
        </row>
      </sheetData>
      <sheetData sheetId="19" refreshError="1"/>
      <sheetData sheetId="20" refreshError="1"/>
      <sheetData sheetId="21" refreshError="1">
        <row r="21">
          <cell r="E21">
            <v>3495.2660000000001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Indice"/>
      <sheetName val="Indicadores"/>
      <sheetName val="C_1"/>
      <sheetName val="C_2"/>
      <sheetName val="Real"/>
      <sheetName val="C_3"/>
      <sheetName val="C_4"/>
      <sheetName val="C_5"/>
      <sheetName val="C_6"/>
      <sheetName val="C_7"/>
      <sheetName val="C_8"/>
      <sheetName val="C_9"/>
      <sheetName val="C_10"/>
      <sheetName val="C_11"/>
      <sheetName val="C_12"/>
      <sheetName val="C_13"/>
      <sheetName val="C_14"/>
      <sheetName val="C_15"/>
      <sheetName val="C_16"/>
      <sheetName val="C_17"/>
      <sheetName val="C_18"/>
      <sheetName val="C_19"/>
      <sheetName val="C_20"/>
      <sheetName val="C_21"/>
      <sheetName val="Externo"/>
      <sheetName val="C_22"/>
      <sheetName val="C_23"/>
      <sheetName val="C_24"/>
      <sheetName val="C_25"/>
      <sheetName val="C_26"/>
      <sheetName val="C_27"/>
      <sheetName val="C_28"/>
      <sheetName val="C_29"/>
      <sheetName val="Fiscal"/>
      <sheetName val="C_30"/>
      <sheetName val="C_31"/>
      <sheetName val="C_32"/>
      <sheetName val="C_33"/>
      <sheetName val="C_34"/>
      <sheetName val="C_35"/>
      <sheetName val="C_36"/>
      <sheetName val="C_37"/>
      <sheetName val="C_38"/>
      <sheetName val="C_39"/>
      <sheetName val="C_40"/>
      <sheetName val="C_41"/>
      <sheetName val="C_42"/>
      <sheetName val="C_43"/>
      <sheetName val="C_44"/>
      <sheetName val="C_45"/>
      <sheetName val="C_46"/>
      <sheetName val="C_47"/>
      <sheetName val="C_48"/>
      <sheetName val="C_49"/>
      <sheetName val="C_50"/>
      <sheetName val="C_51"/>
      <sheetName val="C_52"/>
      <sheetName val="C_53"/>
      <sheetName val="C_54"/>
      <sheetName val="C_55"/>
      <sheetName val="C_56"/>
      <sheetName val="C_57"/>
      <sheetName val="C_58"/>
      <sheetName val="C_59"/>
      <sheetName val="C_60"/>
      <sheetName val="C_61"/>
      <sheetName val="C_62"/>
      <sheetName val="C_63"/>
      <sheetName val="C_64"/>
      <sheetName val="C_65"/>
      <sheetName val="C_66"/>
      <sheetName val="C_67"/>
      <sheetName val="C_68"/>
      <sheetName val="C_69"/>
      <sheetName val="Deuda_Pública"/>
      <sheetName val="C_70"/>
      <sheetName val="C_71"/>
      <sheetName val="C_72"/>
      <sheetName val="C_73"/>
      <sheetName val="C_74"/>
      <sheetName val="C_75"/>
      <sheetName val="C_76"/>
      <sheetName val="C_77"/>
      <sheetName val="C_78"/>
      <sheetName val="C_79"/>
      <sheetName val="C_80"/>
      <sheetName val="Monetario"/>
      <sheetName val="C_81"/>
      <sheetName val="Anexos"/>
      <sheetName val="A_1"/>
      <sheetName val="A_2"/>
      <sheetName val="A_3"/>
      <sheetName val="A_4"/>
    </sheetNames>
    <sheetDataSet>
      <sheetData sheetId="0"/>
      <sheetData sheetId="1"/>
      <sheetData sheetId="2"/>
      <sheetData sheetId="3">
        <row r="12">
          <cell r="D12">
            <v>3.4787451832311205</v>
          </cell>
          <cell r="I12">
            <v>3.4142439080243427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 kf"/>
      <sheetName val="descomposición resumen (grafs)"/>
      <sheetName val="graficos"/>
      <sheetName val="descomposición %"/>
      <sheetName val="descomposicion"/>
      <sheetName val="PBI resumen"/>
      <sheetName val="PBI 1994 BCR"/>
      <sheetName val="PBI corr"/>
      <sheetName val="PBI 1994"/>
      <sheetName val="PIB kf"/>
      <sheetName val="Xm kf"/>
      <sheetName val="XM corr dol"/>
      <sheetName val="M kf"/>
      <sheetName val="M c nac"/>
      <sheetName val="M c dol"/>
      <sheetName val="Data INTAL"/>
      <sheetName val="45 ramas X I"/>
      <sheetName val="Imp 94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P7">
            <v>11647.776195311209</v>
          </cell>
          <cell r="Q7">
            <v>13010.17695382833</v>
          </cell>
        </row>
        <row r="8">
          <cell r="P8">
            <v>572.77940233801542</v>
          </cell>
          <cell r="Q8">
            <v>1379.3735088990602</v>
          </cell>
        </row>
        <row r="10">
          <cell r="P10">
            <v>574.10616357458844</v>
          </cell>
          <cell r="Q10">
            <v>1480.9360310862751</v>
          </cell>
        </row>
        <row r="11">
          <cell r="P11">
            <v>8175.0103445254135</v>
          </cell>
          <cell r="Q11">
            <v>10459.999650593127</v>
          </cell>
        </row>
        <row r="14">
          <cell r="P14">
            <v>411.1771189953613</v>
          </cell>
          <cell r="Q14">
            <v>500.80775515172604</v>
          </cell>
        </row>
        <row r="15">
          <cell r="P15">
            <v>241.60835263622249</v>
          </cell>
          <cell r="Q15">
            <v>671.84235715075613</v>
          </cell>
        </row>
        <row r="16">
          <cell r="P16">
            <v>617.93967586571637</v>
          </cell>
          <cell r="Q16">
            <v>1970.9591259158251</v>
          </cell>
        </row>
        <row r="17">
          <cell r="P17">
            <v>1532.2705003569811</v>
          </cell>
          <cell r="Q17">
            <v>1617.3901653286594</v>
          </cell>
        </row>
        <row r="18">
          <cell r="P18">
            <v>219.77925912863651</v>
          </cell>
          <cell r="Q18">
            <v>319.94673892237876</v>
          </cell>
        </row>
        <row r="19">
          <cell r="P19">
            <v>2183.549248325246</v>
          </cell>
          <cell r="Q19">
            <v>3013.1130670468979</v>
          </cell>
        </row>
        <row r="20">
          <cell r="P20">
            <v>870.7462359182631</v>
          </cell>
          <cell r="Q20">
            <v>1522.0607609070269</v>
          </cell>
        </row>
        <row r="22">
          <cell r="P22">
            <v>1266.4094166244822</v>
          </cell>
          <cell r="Q22">
            <v>2020.281326376351</v>
          </cell>
        </row>
        <row r="23">
          <cell r="P23">
            <v>1410.5693430249198</v>
          </cell>
          <cell r="Q23">
            <v>2329.4612265295705</v>
          </cell>
        </row>
        <row r="24">
          <cell r="P24">
            <v>43.424103081047079</v>
          </cell>
          <cell r="Q24">
            <v>47.109136192489245</v>
          </cell>
        </row>
        <row r="25">
          <cell r="P25">
            <v>127.35903757390123</v>
          </cell>
          <cell r="Q25">
            <v>162.45016148033622</v>
          </cell>
        </row>
        <row r="26">
          <cell r="P26">
            <v>638.73430238057574</v>
          </cell>
          <cell r="Q26">
            <v>722.47092995980449</v>
          </cell>
        </row>
        <row r="28">
          <cell r="P28">
            <v>649.11679372951278</v>
          </cell>
          <cell r="Q28">
            <v>941.54895948665194</v>
          </cell>
        </row>
        <row r="29">
          <cell r="P29">
            <v>747.75199484529332</v>
          </cell>
          <cell r="Q29">
            <v>1105.4854006185935</v>
          </cell>
        </row>
        <row r="31">
          <cell r="P31">
            <v>627.415475295139</v>
          </cell>
          <cell r="Q31">
            <v>1136.0880417532273</v>
          </cell>
        </row>
        <row r="32">
          <cell r="P32">
            <v>321.46266239096923</v>
          </cell>
          <cell r="Q32">
            <v>681.88241130348422</v>
          </cell>
        </row>
        <row r="33">
          <cell r="P33">
            <v>921.11925858088694</v>
          </cell>
          <cell r="Q33">
            <v>1550.0240801293883</v>
          </cell>
        </row>
        <row r="34">
          <cell r="P34">
            <v>803.92191702941182</v>
          </cell>
          <cell r="Q34">
            <v>1353.9608967895367</v>
          </cell>
        </row>
        <row r="35">
          <cell r="P35">
            <v>652.58512031678697</v>
          </cell>
          <cell r="Q35">
            <v>963.38009739540928</v>
          </cell>
        </row>
        <row r="36">
          <cell r="P36">
            <v>1417.2964450793997</v>
          </cell>
          <cell r="Q36">
            <v>2230.1575062307425</v>
          </cell>
        </row>
        <row r="38">
          <cell r="P38">
            <v>518.04001262542704</v>
          </cell>
          <cell r="Q38">
            <v>609.49527682726318</v>
          </cell>
        </row>
        <row r="39">
          <cell r="P39">
            <v>1017.8950768312824</v>
          </cell>
          <cell r="Q39">
            <v>1002.0243905377314</v>
          </cell>
        </row>
        <row r="41">
          <cell r="P41">
            <v>822.10482104781215</v>
          </cell>
          <cell r="Q41">
            <v>1159.0701775214809</v>
          </cell>
        </row>
        <row r="42">
          <cell r="P42">
            <v>194.13735743639606</v>
          </cell>
          <cell r="Q42">
            <v>259.06651643936277</v>
          </cell>
        </row>
        <row r="43">
          <cell r="P43">
            <v>307.47998057920302</v>
          </cell>
          <cell r="Q43">
            <v>437.53251669641907</v>
          </cell>
        </row>
        <row r="44">
          <cell r="P44">
            <v>149.05320060417506</v>
          </cell>
          <cell r="Q44">
            <v>149.40483760565525</v>
          </cell>
        </row>
        <row r="45">
          <cell r="P45">
            <v>537.0345439088718</v>
          </cell>
          <cell r="Q45">
            <v>817.17372542240389</v>
          </cell>
        </row>
        <row r="46">
          <cell r="P46">
            <v>2786.6189241000002</v>
          </cell>
          <cell r="Q46">
            <v>4508.5399142643482</v>
          </cell>
        </row>
        <row r="47">
          <cell r="P47">
            <v>6464.391005200001</v>
          </cell>
          <cell r="Q47">
            <v>11022.072907846539</v>
          </cell>
        </row>
        <row r="48">
          <cell r="P48">
            <v>19152.4494577</v>
          </cell>
          <cell r="Q48">
            <v>28551.948125322666</v>
          </cell>
        </row>
        <row r="49">
          <cell r="P49">
            <v>10309.495174889233</v>
          </cell>
          <cell r="Q49">
            <v>16477.727623680035</v>
          </cell>
        </row>
        <row r="50">
          <cell r="P50">
            <v>2801.6512685578118</v>
          </cell>
          <cell r="Q50">
            <v>4770.4685160506742</v>
          </cell>
        </row>
        <row r="51">
          <cell r="P51">
            <v>335.67534317783105</v>
          </cell>
          <cell r="Q51">
            <v>757.59557936012698</v>
          </cell>
        </row>
        <row r="52">
          <cell r="P52">
            <v>3331.7854124719715</v>
          </cell>
          <cell r="Q52">
            <v>5795.8846088541213</v>
          </cell>
        </row>
        <row r="53">
          <cell r="P53">
            <v>9100.3769897590773</v>
          </cell>
          <cell r="Q53">
            <v>17197.640240278582</v>
          </cell>
        </row>
        <row r="54">
          <cell r="P54">
            <v>5162.36422311566</v>
          </cell>
          <cell r="Q54">
            <v>8596.2380503432778</v>
          </cell>
        </row>
        <row r="55">
          <cell r="P55">
            <v>4508.2865491954954</v>
          </cell>
          <cell r="Q55">
            <v>6948.494024081866</v>
          </cell>
        </row>
        <row r="56">
          <cell r="P56">
            <v>761.21214899347603</v>
          </cell>
          <cell r="Q56">
            <v>1330.0961489358006</v>
          </cell>
        </row>
        <row r="57">
          <cell r="P57">
            <v>2158.0272677413814</v>
          </cell>
          <cell r="Q57">
            <v>3924.0449289407384</v>
          </cell>
        </row>
        <row r="58">
          <cell r="P58">
            <v>4242.6834182317962</v>
          </cell>
          <cell r="Q58">
            <v>7728.1746075450928</v>
          </cell>
        </row>
        <row r="59">
          <cell r="P59">
            <v>8051.6073243651344</v>
          </cell>
          <cell r="Q59">
            <v>15240.777213128258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scomp cuenta corr. desde 1985"/>
      <sheetName val="Descomp. cuenta corriente anual"/>
      <sheetName val="Descomp. Cuentas nacionales"/>
      <sheetName val="cuenta corriente (BID)"/>
      <sheetName val="35 (renta de factores)"/>
      <sheetName val="26 (Cuenta corriente)"/>
      <sheetName val="5 (oferta-demanda corrientes)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Y24">
            <v>212117.685575401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ratula"/>
      <sheetName val="Indice"/>
      <sheetName val="Indicadores"/>
      <sheetName val="C_1"/>
      <sheetName val="C_2"/>
      <sheetName val="Real"/>
      <sheetName val="C_3"/>
      <sheetName val="C_4"/>
      <sheetName val="C_5"/>
      <sheetName val="C_6"/>
      <sheetName val="C_7"/>
      <sheetName val="C_8"/>
      <sheetName val="C_9"/>
      <sheetName val="C_10"/>
      <sheetName val="C_11"/>
      <sheetName val="C_12"/>
      <sheetName val="C_13"/>
      <sheetName val="C_14"/>
      <sheetName val="C_15"/>
      <sheetName val="C_16"/>
      <sheetName val="C_17"/>
      <sheetName val="C_18"/>
      <sheetName val="C_19"/>
      <sheetName val="C_20"/>
      <sheetName val="C_21"/>
      <sheetName val="Externo"/>
      <sheetName val="C_22"/>
      <sheetName val="C_23"/>
      <sheetName val="C_24"/>
      <sheetName val="C_25"/>
      <sheetName val="C_26"/>
      <sheetName val="C_27"/>
      <sheetName val="C_28"/>
      <sheetName val="C_29"/>
      <sheetName val="Fiscal"/>
      <sheetName val="C_30"/>
      <sheetName val="C_31"/>
      <sheetName val="C_32"/>
      <sheetName val="C_33"/>
      <sheetName val="C_34"/>
      <sheetName val="C_35"/>
      <sheetName val="C_36"/>
      <sheetName val="C_37"/>
      <sheetName val="C_38"/>
      <sheetName val="C_39"/>
      <sheetName val="C_40"/>
      <sheetName val="C_41"/>
      <sheetName val="C_42"/>
      <sheetName val="C_43"/>
      <sheetName val="C_44"/>
      <sheetName val="C_45"/>
      <sheetName val="C_46"/>
      <sheetName val="C_47"/>
      <sheetName val="C_48"/>
      <sheetName val="C_49"/>
      <sheetName val="C_50"/>
      <sheetName val="C_51"/>
      <sheetName val="C_52"/>
      <sheetName val="C_53"/>
      <sheetName val="C_54"/>
      <sheetName val="C_55"/>
      <sheetName val="C_56"/>
      <sheetName val="C_57"/>
      <sheetName val="C_58"/>
      <sheetName val="C_59"/>
      <sheetName val="C_60"/>
      <sheetName val="C_61"/>
      <sheetName val="C_62"/>
      <sheetName val="C_63"/>
      <sheetName val="C_64"/>
      <sheetName val="C_65"/>
      <sheetName val="C_66"/>
      <sheetName val="C_67"/>
      <sheetName val="C_68"/>
      <sheetName val="C_69"/>
      <sheetName val="Deuda_Pública"/>
      <sheetName val="C_70"/>
      <sheetName val="C_71"/>
      <sheetName val="C_72"/>
      <sheetName val="C_73"/>
      <sheetName val="C_74"/>
      <sheetName val="C_75"/>
      <sheetName val="C_76"/>
      <sheetName val="C_77"/>
      <sheetName val="C_78"/>
      <sheetName val="C_79"/>
      <sheetName val="C_80"/>
      <sheetName val="Monetario"/>
      <sheetName val="C_81"/>
      <sheetName val="Anexos"/>
      <sheetName val="A_1"/>
      <sheetName val="A_2"/>
      <sheetName val="A_3"/>
      <sheetName val="A_4"/>
    </sheetNames>
    <sheetDataSet>
      <sheetData sheetId="0"/>
      <sheetData sheetId="1"/>
      <sheetData sheetId="2"/>
      <sheetData sheetId="3">
        <row r="12">
          <cell r="I12">
            <v>3.4138200263504608</v>
          </cell>
        </row>
      </sheetData>
      <sheetData sheetId="4"/>
      <sheetData sheetId="5"/>
      <sheetData sheetId="6"/>
      <sheetData sheetId="7"/>
      <sheetData sheetId="8">
        <row r="16">
          <cell r="G16">
            <v>6442.5912934041844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>
        <row r="33">
          <cell r="G33">
            <v>-2595.5203761447638</v>
          </cell>
        </row>
      </sheetData>
      <sheetData sheetId="36">
        <row r="29">
          <cell r="G29">
            <v>982.68630379017543</v>
          </cell>
        </row>
        <row r="30">
          <cell r="G30">
            <v>3954.5338863211473</v>
          </cell>
        </row>
        <row r="34">
          <cell r="G34">
            <v>3860.3506817171997</v>
          </cell>
        </row>
        <row r="38">
          <cell r="G38">
            <v>-1650.0153352745529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10">
          <cell r="G10">
            <v>9026.1115912199984</v>
          </cell>
        </row>
        <row r="26">
          <cell r="G26">
            <v>2166.6803483807607</v>
          </cell>
        </row>
      </sheetData>
      <sheetData sheetId="47"/>
      <sheetData sheetId="48"/>
      <sheetData sheetId="49"/>
      <sheetData sheetId="50">
        <row r="13">
          <cell r="G13">
            <v>11125.830230886444</v>
          </cell>
        </row>
        <row r="16">
          <cell r="G16">
            <v>1792.9928089166665</v>
          </cell>
        </row>
        <row r="18">
          <cell r="G18">
            <v>2244.8264603397788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6">
          <cell r="C6">
            <v>0.11538909611434037</v>
          </cell>
          <cell r="D6">
            <v>4.691735711576412E-2</v>
          </cell>
          <cell r="E6">
            <v>0.18769712010748468</v>
          </cell>
          <cell r="F6">
            <v>0.32340551653146671</v>
          </cell>
          <cell r="G6">
            <v>7.3575172704022515E-2</v>
          </cell>
          <cell r="H6">
            <v>8.5274921326727274E-2</v>
          </cell>
          <cell r="I6">
            <v>0.16774081610019437</v>
          </cell>
          <cell r="K6">
            <v>0.19594454053830945</v>
          </cell>
          <cell r="L6">
            <v>4.2600446879806936E-2</v>
          </cell>
          <cell r="M6">
            <v>0.14005715881043218</v>
          </cell>
          <cell r="N6">
            <v>0.11477860533371613</v>
          </cell>
          <cell r="O6">
            <v>7.1336650404225002E-2</v>
          </cell>
          <cell r="P6">
            <v>4.4061106809459211E-2</v>
          </cell>
          <cell r="Q6">
            <v>0.39122149122405109</v>
          </cell>
          <cell r="T6">
            <v>0.15251823289753738</v>
          </cell>
        </row>
        <row r="7">
          <cell r="C7">
            <v>0.11538909611434037</v>
          </cell>
          <cell r="D7">
            <v>4.691735711576412E-2</v>
          </cell>
          <cell r="E7">
            <v>0.18769712010748468</v>
          </cell>
          <cell r="F7">
            <v>0.32340551653146671</v>
          </cell>
          <cell r="G7">
            <v>7.3575172704022515E-2</v>
          </cell>
          <cell r="H7">
            <v>8.5274921326727274E-2</v>
          </cell>
          <cell r="I7">
            <v>0.16774081610019437</v>
          </cell>
          <cell r="K7">
            <v>0.19594454053830945</v>
          </cell>
          <cell r="L7">
            <v>4.2600446879806936E-2</v>
          </cell>
          <cell r="M7">
            <v>0.14005715881043218</v>
          </cell>
          <cell r="N7">
            <v>0.11477860533371613</v>
          </cell>
          <cell r="O7">
            <v>7.1336650404225002E-2</v>
          </cell>
          <cell r="P7">
            <v>4.4061106809459211E-2</v>
          </cell>
          <cell r="Q7">
            <v>0.39122149122405109</v>
          </cell>
          <cell r="T7">
            <v>0.15251823289753738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K8">
            <v>0.18981690264943585</v>
          </cell>
          <cell r="L8">
            <v>2.2147489735987565E-2</v>
          </cell>
          <cell r="M8">
            <v>0.15104130005907215</v>
          </cell>
          <cell r="N8">
            <v>5.7436470137826053E-2</v>
          </cell>
          <cell r="O8">
            <v>5.6326391876354957E-2</v>
          </cell>
          <cell r="P8">
            <v>2.0807815292475183E-2</v>
          </cell>
          <cell r="Q8">
            <v>0.50242363024884829</v>
          </cell>
          <cell r="T8">
            <v>0</v>
          </cell>
        </row>
        <row r="9">
          <cell r="C9">
            <v>0.11538909611434037</v>
          </cell>
          <cell r="D9">
            <v>4.691735711576412E-2</v>
          </cell>
          <cell r="E9">
            <v>0.18769712010748468</v>
          </cell>
          <cell r="F9">
            <v>0.32340551653146671</v>
          </cell>
          <cell r="G9">
            <v>7.3575172704022515E-2</v>
          </cell>
          <cell r="H9">
            <v>8.5274921326727274E-2</v>
          </cell>
          <cell r="I9">
            <v>0.16774081610019437</v>
          </cell>
          <cell r="K9">
            <v>0.19594454053830945</v>
          </cell>
          <cell r="L9">
            <v>4.2600446879806936E-2</v>
          </cell>
          <cell r="M9">
            <v>0.14005715881043218</v>
          </cell>
          <cell r="N9">
            <v>0.11477860533371613</v>
          </cell>
          <cell r="O9">
            <v>7.1336650404225002E-2</v>
          </cell>
          <cell r="P9">
            <v>4.4061106809459211E-2</v>
          </cell>
          <cell r="Q9">
            <v>0.39122149122405109</v>
          </cell>
          <cell r="T9">
            <v>0.15251823289753738</v>
          </cell>
        </row>
        <row r="10">
          <cell r="C10">
            <v>0.32484738139775671</v>
          </cell>
          <cell r="D10">
            <v>1.1502704756423726E-2</v>
          </cell>
          <cell r="E10">
            <v>0.1574254179832798</v>
          </cell>
          <cell r="F10">
            <v>2.6807010493405892E-2</v>
          </cell>
          <cell r="G10">
            <v>0.14215010938689951</v>
          </cell>
          <cell r="H10">
            <v>4.1326643103718572E-2</v>
          </cell>
          <cell r="I10">
            <v>0.2959407328785158</v>
          </cell>
          <cell r="K10">
            <v>0.21095520032048087</v>
          </cell>
          <cell r="L10">
            <v>3.1882631368898864E-2</v>
          </cell>
          <cell r="M10">
            <v>0.17929757067215463</v>
          </cell>
          <cell r="N10">
            <v>0.13094730789555201</v>
          </cell>
          <cell r="O10">
            <v>7.1892449743028428E-2</v>
          </cell>
          <cell r="P10">
            <v>4.0225950726945812E-2</v>
          </cell>
          <cell r="Q10">
            <v>0.33479888927293938</v>
          </cell>
          <cell r="T10">
            <v>4.8661176760897039E-3</v>
          </cell>
        </row>
        <row r="11">
          <cell r="C11">
            <v>0.22964534338982903</v>
          </cell>
          <cell r="D11">
            <v>5.1568787038983772E-2</v>
          </cell>
          <cell r="E11">
            <v>0.23154234658957634</v>
          </cell>
          <cell r="F11">
            <v>9.9567243290950402E-2</v>
          </cell>
          <cell r="G11">
            <v>9.2627313392760882E-2</v>
          </cell>
          <cell r="H11">
            <v>6.6499118744252059E-2</v>
          </cell>
          <cell r="I11">
            <v>0.22854984755364749</v>
          </cell>
          <cell r="K11">
            <v>0.1908341752805385</v>
          </cell>
          <cell r="L11">
            <v>2.7453021009702379E-2</v>
          </cell>
          <cell r="M11">
            <v>0.13315775497977816</v>
          </cell>
          <cell r="N11">
            <v>7.575940105530693E-2</v>
          </cell>
          <cell r="O11">
            <v>5.893634242719626E-2</v>
          </cell>
          <cell r="P11">
            <v>3.0825960153322212E-2</v>
          </cell>
          <cell r="Q11">
            <v>0.48303334509415558</v>
          </cell>
          <cell r="T11">
            <v>2.4461595049099723E-2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K12">
            <v>0.18981690264943585</v>
          </cell>
          <cell r="L12">
            <v>2.2147489735987565E-2</v>
          </cell>
          <cell r="M12">
            <v>0.15104130005907215</v>
          </cell>
          <cell r="N12">
            <v>5.7436470137826053E-2</v>
          </cell>
          <cell r="O12">
            <v>5.6326391876354957E-2</v>
          </cell>
          <cell r="P12">
            <v>2.0807815292475183E-2</v>
          </cell>
          <cell r="Q12">
            <v>0.50242363024884829</v>
          </cell>
          <cell r="T12">
            <v>0</v>
          </cell>
        </row>
        <row r="13"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K13">
            <v>0.18981690264943585</v>
          </cell>
          <cell r="L13">
            <v>2.2147489735987565E-2</v>
          </cell>
          <cell r="M13">
            <v>0.15104130005907215</v>
          </cell>
          <cell r="N13">
            <v>5.7436470137826053E-2</v>
          </cell>
          <cell r="O13">
            <v>5.6326391876354957E-2</v>
          </cell>
          <cell r="P13">
            <v>2.0807815292475183E-2</v>
          </cell>
          <cell r="Q13">
            <v>0.50242363024884829</v>
          </cell>
          <cell r="T13">
            <v>1.571975835830151E-2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T14">
            <v>0</v>
          </cell>
        </row>
        <row r="15">
          <cell r="C15">
            <v>0.43397224122289979</v>
          </cell>
          <cell r="D15">
            <v>3.0853866193185954E-3</v>
          </cell>
          <cell r="E15">
            <v>0.14383892923500846</v>
          </cell>
          <cell r="F15">
            <v>5.6393687570646139E-2</v>
          </cell>
          <cell r="G15">
            <v>1.3872839380400032E-2</v>
          </cell>
          <cell r="H15">
            <v>2.6361620895247243E-2</v>
          </cell>
          <cell r="I15">
            <v>0.32247529507647976</v>
          </cell>
          <cell r="K15">
            <v>0.16005596227078042</v>
          </cell>
          <cell r="L15">
            <v>1.2295681234760013E-2</v>
          </cell>
          <cell r="M15">
            <v>0.14442607432183985</v>
          </cell>
          <cell r="N15">
            <v>3.9941887257004483E-2</v>
          </cell>
          <cell r="O15">
            <v>5.2223928194163584E-2</v>
          </cell>
          <cell r="P15">
            <v>1.2631668839171849E-2</v>
          </cell>
          <cell r="Q15">
            <v>0.57842479788227985</v>
          </cell>
          <cell r="T15">
            <v>6.3556505372544634E-4</v>
          </cell>
        </row>
        <row r="16">
          <cell r="C16">
            <v>0.3077808730323866</v>
          </cell>
          <cell r="D16">
            <v>6.0805367741611105E-2</v>
          </cell>
          <cell r="E16">
            <v>0.17116488639023955</v>
          </cell>
          <cell r="F16">
            <v>7.6111615015867953E-2</v>
          </cell>
          <cell r="G16">
            <v>0.11339686349029349</v>
          </cell>
          <cell r="H16">
            <v>4.0045950726868583E-2</v>
          </cell>
          <cell r="I16">
            <v>0.23069444360273272</v>
          </cell>
          <cell r="K16">
            <v>0.19297681425650706</v>
          </cell>
          <cell r="L16">
            <v>3.0916855187621647E-2</v>
          </cell>
          <cell r="M16">
            <v>0.14257105020327263</v>
          </cell>
          <cell r="N16">
            <v>6.4592721393967295E-2</v>
          </cell>
          <cell r="O16">
            <v>5.0217775341502617E-2</v>
          </cell>
          <cell r="P16">
            <v>2.5877848553270397E-2</v>
          </cell>
          <cell r="Q16">
            <v>0.49284693506385835</v>
          </cell>
          <cell r="T16">
            <v>1.9570916586527376E-3</v>
          </cell>
        </row>
        <row r="17">
          <cell r="C17">
            <v>0.19050842635279422</v>
          </cell>
          <cell r="D17">
            <v>1.0602044777451728E-2</v>
          </cell>
          <cell r="E17">
            <v>0.31846805559378577</v>
          </cell>
          <cell r="F17">
            <v>7.2182681466088403E-2</v>
          </cell>
          <cell r="G17">
            <v>7.0277359246298618E-2</v>
          </cell>
          <cell r="H17">
            <v>1.9044347072456266E-2</v>
          </cell>
          <cell r="I17">
            <v>0.31891708549112502</v>
          </cell>
          <cell r="K17">
            <v>0.17474882262323133</v>
          </cell>
          <cell r="L17">
            <v>1.0874312802893893E-2</v>
          </cell>
          <cell r="M17">
            <v>0.14975546357261232</v>
          </cell>
          <cell r="N17">
            <v>3.1319772616268067E-2</v>
          </cell>
          <cell r="O17">
            <v>4.1189973750953429E-2</v>
          </cell>
          <cell r="P17">
            <v>9.3451565259400817E-3</v>
          </cell>
          <cell r="Q17">
            <v>0.58276649810810088</v>
          </cell>
          <cell r="T17">
            <v>1.0999049327011427E-3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K18">
            <v>0.22159100177976546</v>
          </cell>
          <cell r="L18">
            <v>3.6902874430844182E-2</v>
          </cell>
          <cell r="M18">
            <v>0.14955021976111918</v>
          </cell>
          <cell r="N18">
            <v>5.5961908314330296E-2</v>
          </cell>
          <cell r="O18">
            <v>5.0157765867400443E-2</v>
          </cell>
          <cell r="P18">
            <v>2.7172409163828661E-2</v>
          </cell>
          <cell r="Q18">
            <v>0.45866382068271178</v>
          </cell>
          <cell r="T18">
            <v>0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K19">
            <v>0.18981690264943585</v>
          </cell>
          <cell r="L19">
            <v>2.2147489735987565E-2</v>
          </cell>
          <cell r="M19">
            <v>0.15104130005907215</v>
          </cell>
          <cell r="N19">
            <v>5.7436470137826053E-2</v>
          </cell>
          <cell r="O19">
            <v>5.6326391876354957E-2</v>
          </cell>
          <cell r="P19">
            <v>2.0807815292475183E-2</v>
          </cell>
          <cell r="Q19">
            <v>0.50242363024884829</v>
          </cell>
          <cell r="T19">
            <v>0</v>
          </cell>
        </row>
        <row r="20">
          <cell r="C20">
            <v>0.1400473748152761</v>
          </cell>
          <cell r="D20">
            <v>1.416192819694671E-2</v>
          </cell>
          <cell r="E20">
            <v>0.11244583748440819</v>
          </cell>
          <cell r="F20">
            <v>3.0941049966996041E-2</v>
          </cell>
          <cell r="G20">
            <v>4.1566379679216663E-2</v>
          </cell>
          <cell r="H20">
            <v>9.786481220880194E-3</v>
          </cell>
          <cell r="I20">
            <v>0.65105094863627611</v>
          </cell>
          <cell r="K20">
            <v>0.1916035844533148</v>
          </cell>
          <cell r="L20">
            <v>2.2026410221120295E-2</v>
          </cell>
          <cell r="M20">
            <v>0.16274376218937128</v>
          </cell>
          <cell r="N20">
            <v>7.6361159548664764E-2</v>
          </cell>
          <cell r="O20">
            <v>6.2061485662261349E-2</v>
          </cell>
          <cell r="P20">
            <v>2.3735881732545504E-2</v>
          </cell>
          <cell r="Q20">
            <v>0.46146771619272203</v>
          </cell>
          <cell r="T20">
            <v>0.3996794853234697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  <sheetName val="Hoja3"/>
    </sheetNames>
    <sheetDataSet>
      <sheetData sheetId="0">
        <row r="14">
          <cell r="E14">
            <v>1526358417</v>
          </cell>
        </row>
        <row r="24">
          <cell r="E24">
            <v>6300178776</v>
          </cell>
        </row>
        <row r="31">
          <cell r="E31">
            <v>2940109534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crp.gob.pe/Espanol/WEstadistica/cuadros/mensuales/Nota_2000/ncua_017.xls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2728-4DB4-4609-9CDA-DEDC5FEC55F3}">
  <sheetPr>
    <pageSetUpPr fitToPage="1"/>
  </sheetPr>
  <dimension ref="B2:S24"/>
  <sheetViews>
    <sheetView zoomScale="50" workbookViewId="0"/>
  </sheetViews>
  <sheetFormatPr defaultColWidth="12" defaultRowHeight="18" x14ac:dyDescent="0.3"/>
  <cols>
    <col min="1" max="1" width="15.44140625" style="471" customWidth="1"/>
    <col min="2" max="2" width="7.88671875" style="471" customWidth="1"/>
    <col min="3" max="3" width="8.44140625" style="471" customWidth="1"/>
    <col min="4" max="4" width="21" style="471" customWidth="1"/>
    <col min="5" max="6" width="20.88671875" style="471" customWidth="1"/>
    <col min="7" max="7" width="22" style="471" customWidth="1"/>
    <col min="8" max="8" width="22.109375" style="471" customWidth="1"/>
    <col min="9" max="11" width="20.88671875" style="471" customWidth="1"/>
    <col min="12" max="12" width="22.109375" style="471" customWidth="1"/>
    <col min="13" max="15" width="20.88671875" style="471" customWidth="1"/>
    <col min="16" max="16" width="25.6640625" style="471" customWidth="1"/>
    <col min="17" max="17" width="20.6640625" style="471" customWidth="1"/>
    <col min="18" max="18" width="24.6640625" style="471" customWidth="1"/>
    <col min="19" max="19" width="25.109375" style="471" customWidth="1"/>
    <col min="20" max="16384" width="12" style="471"/>
  </cols>
  <sheetData>
    <row r="2" spans="2:19" ht="15" customHeight="1" x14ac:dyDescent="0.3">
      <c r="B2" s="472"/>
      <c r="C2" s="472"/>
      <c r="D2" s="472"/>
      <c r="E2" s="472"/>
      <c r="F2" s="784" t="s">
        <v>193</v>
      </c>
      <c r="G2" s="784"/>
      <c r="H2" s="784"/>
      <c r="I2" s="784"/>
      <c r="J2" s="784"/>
      <c r="K2" s="784"/>
      <c r="L2" s="784"/>
      <c r="M2" s="472"/>
      <c r="N2" s="472"/>
      <c r="O2" s="472"/>
      <c r="P2" s="472"/>
      <c r="Q2" s="472"/>
      <c r="R2" s="472"/>
      <c r="S2" s="472"/>
    </row>
    <row r="3" spans="2:19" ht="20.5" x14ac:dyDescent="0.3">
      <c r="B3" s="472"/>
      <c r="C3" s="472"/>
      <c r="D3" s="472"/>
      <c r="E3" s="472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</row>
    <row r="4" spans="2:19" x14ac:dyDescent="0.3">
      <c r="F4" s="773" t="s">
        <v>575</v>
      </c>
      <c r="G4" s="774"/>
      <c r="H4" s="774"/>
      <c r="I4" s="774"/>
      <c r="J4" s="774"/>
      <c r="K4" s="774"/>
      <c r="L4" s="774"/>
      <c r="M4" s="774"/>
      <c r="N4" s="774"/>
      <c r="O4" s="774"/>
      <c r="P4" s="774"/>
      <c r="Q4" s="774"/>
      <c r="R4" s="774"/>
      <c r="S4" s="775"/>
    </row>
    <row r="5" spans="2:19" ht="30" customHeight="1" x14ac:dyDescent="0.3">
      <c r="F5" s="776" t="s">
        <v>578</v>
      </c>
      <c r="G5" s="773" t="s">
        <v>571</v>
      </c>
      <c r="H5" s="774"/>
      <c r="I5" s="774"/>
      <c r="J5" s="774"/>
      <c r="K5" s="774"/>
      <c r="L5" s="775"/>
      <c r="M5" s="776" t="s">
        <v>581</v>
      </c>
      <c r="N5" s="776" t="s">
        <v>285</v>
      </c>
      <c r="O5" s="776" t="s">
        <v>17</v>
      </c>
      <c r="P5" s="776" t="s">
        <v>559</v>
      </c>
      <c r="Q5" s="776" t="s">
        <v>279</v>
      </c>
      <c r="R5" s="776" t="s">
        <v>580</v>
      </c>
      <c r="S5" s="776" t="s">
        <v>576</v>
      </c>
    </row>
    <row r="6" spans="2:19" ht="33.75" customHeight="1" x14ac:dyDescent="0.3">
      <c r="F6" s="777"/>
      <c r="G6" s="530" t="s">
        <v>572</v>
      </c>
      <c r="H6" s="530" t="s">
        <v>573</v>
      </c>
      <c r="I6" s="773" t="s">
        <v>469</v>
      </c>
      <c r="J6" s="774"/>
      <c r="K6" s="774"/>
      <c r="L6" s="775"/>
      <c r="M6" s="777"/>
      <c r="N6" s="777"/>
      <c r="O6" s="777"/>
      <c r="P6" s="777"/>
      <c r="Q6" s="777"/>
      <c r="R6" s="777"/>
      <c r="S6" s="777"/>
    </row>
    <row r="7" spans="2:19" ht="36" x14ac:dyDescent="0.3">
      <c r="F7" s="529"/>
      <c r="G7" s="530"/>
      <c r="H7" s="530"/>
      <c r="I7" s="530" t="s">
        <v>561</v>
      </c>
      <c r="J7" s="530" t="s">
        <v>560</v>
      </c>
      <c r="K7" s="530" t="s">
        <v>527</v>
      </c>
      <c r="L7" s="530" t="s">
        <v>575</v>
      </c>
      <c r="M7" s="529"/>
      <c r="N7" s="529"/>
      <c r="O7" s="529"/>
      <c r="P7" s="529"/>
      <c r="Q7" s="529"/>
      <c r="R7" s="529"/>
      <c r="S7" s="529"/>
    </row>
    <row r="8" spans="2:19" ht="36" x14ac:dyDescent="0.3">
      <c r="B8" s="778" t="s">
        <v>577</v>
      </c>
      <c r="C8" s="773" t="s">
        <v>578</v>
      </c>
      <c r="D8" s="774"/>
      <c r="E8" s="775"/>
      <c r="F8" s="530"/>
      <c r="G8" s="530"/>
      <c r="H8" s="530"/>
      <c r="I8" s="530"/>
      <c r="J8" s="530"/>
      <c r="K8" s="530"/>
      <c r="L8" s="530"/>
      <c r="M8" s="530"/>
      <c r="N8" s="530"/>
      <c r="O8" s="531" t="s">
        <v>68</v>
      </c>
      <c r="P8" s="531"/>
      <c r="Q8" s="531"/>
      <c r="R8" s="531" t="s">
        <v>60</v>
      </c>
      <c r="S8" s="531" t="s">
        <v>80</v>
      </c>
    </row>
    <row r="9" spans="2:19" ht="54" x14ac:dyDescent="0.3">
      <c r="B9" s="778"/>
      <c r="C9" s="779" t="s">
        <v>571</v>
      </c>
      <c r="D9" s="773" t="s">
        <v>572</v>
      </c>
      <c r="E9" s="775"/>
      <c r="F9" s="531" t="s">
        <v>195</v>
      </c>
      <c r="G9" s="531" t="s">
        <v>202</v>
      </c>
      <c r="H9" s="531" t="s">
        <v>206</v>
      </c>
      <c r="I9" s="531"/>
      <c r="J9" s="531"/>
      <c r="K9" s="531"/>
      <c r="L9" s="531" t="s">
        <v>56</v>
      </c>
      <c r="M9" s="530"/>
      <c r="N9" s="530"/>
      <c r="O9" s="530"/>
      <c r="P9" s="530"/>
      <c r="Q9" s="530"/>
      <c r="R9" s="531" t="s">
        <v>61</v>
      </c>
      <c r="S9" s="531" t="s">
        <v>81</v>
      </c>
    </row>
    <row r="10" spans="2:19" ht="54" x14ac:dyDescent="0.3">
      <c r="B10" s="778"/>
      <c r="C10" s="780"/>
      <c r="D10" s="773" t="s">
        <v>573</v>
      </c>
      <c r="E10" s="775"/>
      <c r="F10" s="531" t="s">
        <v>196</v>
      </c>
      <c r="G10" s="530"/>
      <c r="H10" s="531"/>
      <c r="I10" s="531"/>
      <c r="J10" s="531"/>
      <c r="K10" s="531"/>
      <c r="L10" s="531" t="s">
        <v>57</v>
      </c>
      <c r="M10" s="530"/>
      <c r="N10" s="530"/>
      <c r="O10" s="530"/>
      <c r="P10" s="530"/>
      <c r="Q10" s="530"/>
      <c r="R10" s="531" t="s">
        <v>62</v>
      </c>
      <c r="S10" s="531" t="s">
        <v>82</v>
      </c>
    </row>
    <row r="11" spans="2:19" ht="54" x14ac:dyDescent="0.3">
      <c r="B11" s="778"/>
      <c r="C11" s="780"/>
      <c r="D11" s="776" t="s">
        <v>465</v>
      </c>
      <c r="E11" s="530" t="s">
        <v>561</v>
      </c>
      <c r="F11" s="531"/>
      <c r="G11" s="531" t="s">
        <v>203</v>
      </c>
      <c r="H11" s="531" t="s">
        <v>55</v>
      </c>
      <c r="J11" s="531"/>
      <c r="K11" s="531"/>
      <c r="L11" s="530"/>
      <c r="M11" s="530"/>
      <c r="N11" s="530"/>
      <c r="O11" s="531" t="s">
        <v>69</v>
      </c>
      <c r="P11" s="531"/>
      <c r="Q11" s="531"/>
      <c r="R11" s="531"/>
      <c r="S11" s="531" t="s">
        <v>77</v>
      </c>
    </row>
    <row r="12" spans="2:19" ht="90" x14ac:dyDescent="0.3">
      <c r="B12" s="778"/>
      <c r="C12" s="780"/>
      <c r="D12" s="782"/>
      <c r="E12" s="530" t="s">
        <v>560</v>
      </c>
      <c r="F12" s="532" t="s">
        <v>197</v>
      </c>
      <c r="G12" s="531"/>
      <c r="H12" s="531"/>
      <c r="I12" s="531"/>
      <c r="J12" s="531"/>
      <c r="K12" s="531"/>
      <c r="L12" s="530"/>
      <c r="M12" s="531"/>
      <c r="N12" s="531"/>
      <c r="O12" s="531" t="s">
        <v>70</v>
      </c>
      <c r="P12" s="531" t="s">
        <v>74</v>
      </c>
      <c r="Q12" s="531"/>
      <c r="R12" s="531"/>
      <c r="S12" s="531" t="s">
        <v>78</v>
      </c>
    </row>
    <row r="13" spans="2:19" ht="36" x14ac:dyDescent="0.3">
      <c r="B13" s="778"/>
      <c r="C13" s="780"/>
      <c r="D13" s="782"/>
      <c r="E13" s="530" t="s">
        <v>527</v>
      </c>
      <c r="F13" s="531"/>
      <c r="G13" s="531"/>
      <c r="H13" s="531"/>
      <c r="I13" s="531"/>
      <c r="J13" s="531"/>
      <c r="K13" s="531"/>
      <c r="L13" s="530"/>
      <c r="M13" s="531"/>
      <c r="N13" s="531"/>
      <c r="O13" s="531"/>
      <c r="P13" s="531" t="s">
        <v>75</v>
      </c>
      <c r="Q13" s="531"/>
      <c r="R13" s="531"/>
      <c r="S13" s="531" t="s">
        <v>79</v>
      </c>
    </row>
    <row r="14" spans="2:19" ht="72" x14ac:dyDescent="0.3">
      <c r="B14" s="778"/>
      <c r="C14" s="781"/>
      <c r="D14" s="777"/>
      <c r="E14" s="530" t="s">
        <v>577</v>
      </c>
      <c r="G14" s="531" t="s">
        <v>204</v>
      </c>
      <c r="H14" s="531" t="s">
        <v>207</v>
      </c>
      <c r="I14" s="531" t="s">
        <v>77</v>
      </c>
      <c r="J14" s="531" t="s">
        <v>78</v>
      </c>
      <c r="K14" s="531" t="s">
        <v>79</v>
      </c>
      <c r="L14" s="531"/>
      <c r="M14" s="530"/>
      <c r="N14" s="530"/>
      <c r="O14" s="530"/>
      <c r="P14" s="530"/>
      <c r="Q14" s="530"/>
      <c r="R14" s="531" t="s">
        <v>63</v>
      </c>
      <c r="S14" s="531" t="s">
        <v>83</v>
      </c>
    </row>
    <row r="15" spans="2:19" ht="72" x14ac:dyDescent="0.3">
      <c r="B15" s="778"/>
      <c r="C15" s="773" t="s">
        <v>581</v>
      </c>
      <c r="D15" s="774"/>
      <c r="E15" s="775"/>
      <c r="F15" s="530"/>
      <c r="G15" s="531" t="s">
        <v>205</v>
      </c>
      <c r="H15" s="531" t="s">
        <v>53</v>
      </c>
      <c r="I15" s="531"/>
      <c r="J15" s="531"/>
      <c r="K15" s="531"/>
      <c r="L15" s="531" t="s">
        <v>58</v>
      </c>
      <c r="M15" s="530"/>
      <c r="O15" s="530"/>
      <c r="P15" s="531"/>
      <c r="Q15" s="531"/>
      <c r="R15" s="531" t="s">
        <v>64</v>
      </c>
      <c r="S15" s="531" t="s">
        <v>84</v>
      </c>
    </row>
    <row r="16" spans="2:19" ht="36" x14ac:dyDescent="0.3">
      <c r="B16" s="778"/>
      <c r="C16" s="773" t="s">
        <v>285</v>
      </c>
      <c r="D16" s="774"/>
      <c r="E16" s="775"/>
      <c r="F16" s="530"/>
      <c r="G16" s="531"/>
      <c r="H16" s="531"/>
      <c r="I16" s="531"/>
      <c r="J16" s="531"/>
      <c r="K16" s="531"/>
      <c r="L16" s="531"/>
      <c r="M16" s="531" t="s">
        <v>76</v>
      </c>
      <c r="N16" s="530"/>
      <c r="O16" s="530"/>
      <c r="P16" s="531"/>
      <c r="Q16" s="531"/>
      <c r="R16" s="531"/>
      <c r="S16" s="531" t="s">
        <v>76</v>
      </c>
    </row>
    <row r="17" spans="2:19" ht="54" x14ac:dyDescent="0.3">
      <c r="B17" s="778"/>
      <c r="C17" s="773" t="s">
        <v>579</v>
      </c>
      <c r="D17" s="774"/>
      <c r="E17" s="775"/>
      <c r="F17" s="530"/>
      <c r="G17" s="531" t="s">
        <v>200</v>
      </c>
      <c r="H17" s="530"/>
      <c r="I17" s="530"/>
      <c r="J17" s="530"/>
      <c r="K17" s="530"/>
      <c r="L17" s="531"/>
      <c r="N17" s="531"/>
      <c r="O17" s="531"/>
      <c r="P17" s="531" t="s">
        <v>72</v>
      </c>
      <c r="Q17" s="533"/>
      <c r="R17" s="531"/>
      <c r="S17" s="531" t="s">
        <v>85</v>
      </c>
    </row>
    <row r="18" spans="2:19" ht="54" x14ac:dyDescent="0.3">
      <c r="B18" s="778"/>
      <c r="C18" s="773" t="s">
        <v>559</v>
      </c>
      <c r="D18" s="774"/>
      <c r="E18" s="775"/>
      <c r="F18" s="530"/>
      <c r="G18" s="531" t="s">
        <v>201</v>
      </c>
      <c r="H18" s="530"/>
      <c r="I18" s="530"/>
      <c r="J18" s="530"/>
      <c r="K18" s="530"/>
      <c r="L18" s="531"/>
      <c r="M18" s="471" t="s">
        <v>526</v>
      </c>
      <c r="N18" s="531" t="s">
        <v>76</v>
      </c>
      <c r="O18" s="531" t="s">
        <v>67</v>
      </c>
      <c r="P18" s="531"/>
      <c r="Q18" s="531" t="s">
        <v>73</v>
      </c>
      <c r="R18" s="531" t="s">
        <v>524</v>
      </c>
      <c r="S18" s="531" t="s">
        <v>523</v>
      </c>
    </row>
    <row r="19" spans="2:19" ht="66" customHeight="1" x14ac:dyDescent="0.3">
      <c r="B19" s="778"/>
      <c r="C19" s="773" t="s">
        <v>279</v>
      </c>
      <c r="D19" s="774"/>
      <c r="E19" s="775"/>
      <c r="F19" s="530"/>
      <c r="G19" s="531"/>
      <c r="H19" s="530"/>
      <c r="I19" s="530"/>
      <c r="J19" s="530"/>
      <c r="K19" s="530"/>
      <c r="L19" s="531"/>
      <c r="M19" s="531"/>
      <c r="N19" s="531"/>
      <c r="O19" s="531"/>
      <c r="P19" s="531" t="s">
        <v>73</v>
      </c>
      <c r="Q19" s="533"/>
      <c r="R19" s="533"/>
      <c r="S19" s="531" t="s">
        <v>86</v>
      </c>
    </row>
    <row r="20" spans="2:19" ht="54" x14ac:dyDescent="0.3">
      <c r="B20" s="778"/>
      <c r="C20" s="773" t="s">
        <v>580</v>
      </c>
      <c r="D20" s="774"/>
      <c r="E20" s="775"/>
      <c r="F20" s="530" t="s">
        <v>467</v>
      </c>
      <c r="G20" s="531"/>
      <c r="H20" s="531" t="s">
        <v>466</v>
      </c>
      <c r="I20" s="531"/>
      <c r="J20" s="531"/>
      <c r="K20" s="531"/>
      <c r="L20" s="531" t="s">
        <v>468</v>
      </c>
      <c r="M20" s="531"/>
      <c r="O20" s="531"/>
      <c r="P20" s="531" t="s">
        <v>582</v>
      </c>
      <c r="Q20" s="533"/>
      <c r="R20" s="533"/>
      <c r="S20" s="531" t="s">
        <v>66</v>
      </c>
    </row>
    <row r="21" spans="2:19" ht="72" x14ac:dyDescent="0.3">
      <c r="B21" s="778"/>
      <c r="C21" s="773" t="s">
        <v>576</v>
      </c>
      <c r="D21" s="774"/>
      <c r="E21" s="775"/>
      <c r="F21" s="531" t="s">
        <v>198</v>
      </c>
      <c r="G21" s="531" t="s">
        <v>199</v>
      </c>
      <c r="H21" s="531" t="s">
        <v>54</v>
      </c>
      <c r="I21" s="531" t="s">
        <v>77</v>
      </c>
      <c r="J21" s="531" t="s">
        <v>78</v>
      </c>
      <c r="K21" s="531" t="s">
        <v>79</v>
      </c>
      <c r="L21" s="531" t="s">
        <v>59</v>
      </c>
      <c r="M21" s="531" t="s">
        <v>87</v>
      </c>
      <c r="N21" s="531" t="s">
        <v>76</v>
      </c>
      <c r="O21" s="531" t="s">
        <v>71</v>
      </c>
      <c r="P21" s="531" t="s">
        <v>510</v>
      </c>
      <c r="Q21" s="531" t="s">
        <v>86</v>
      </c>
      <c r="R21" s="531" t="s">
        <v>65</v>
      </c>
      <c r="S21" s="533"/>
    </row>
    <row r="22" spans="2:19" ht="20.5" x14ac:dyDescent="0.3">
      <c r="B22" s="472"/>
      <c r="C22" s="472"/>
      <c r="D22" s="472"/>
      <c r="E22" s="472"/>
      <c r="F22" s="472"/>
      <c r="G22" s="472"/>
      <c r="H22" s="472"/>
      <c r="I22" s="472"/>
      <c r="J22" s="472"/>
      <c r="K22" s="472"/>
      <c r="L22" s="472"/>
      <c r="M22" s="472"/>
      <c r="N22" s="472"/>
      <c r="O22" s="472"/>
      <c r="P22" s="472"/>
      <c r="Q22" s="472"/>
      <c r="R22" s="472"/>
      <c r="S22" s="472"/>
    </row>
    <row r="23" spans="2:19" ht="15" customHeight="1" x14ac:dyDescent="0.3">
      <c r="B23" s="472"/>
      <c r="C23" s="783" t="s">
        <v>194</v>
      </c>
      <c r="D23" s="783"/>
      <c r="E23" s="783"/>
      <c r="F23" s="783"/>
      <c r="G23" s="783"/>
      <c r="H23" s="783"/>
      <c r="I23" s="783"/>
      <c r="J23" s="472"/>
      <c r="K23" s="472"/>
      <c r="L23" s="472"/>
      <c r="M23" s="472"/>
      <c r="N23" s="472"/>
      <c r="O23" s="472"/>
      <c r="P23" s="472"/>
      <c r="Q23" s="472"/>
      <c r="R23" s="472"/>
      <c r="S23" s="472"/>
    </row>
    <row r="24" spans="2:19" ht="20.5" x14ac:dyDescent="0.3">
      <c r="B24" s="472"/>
      <c r="C24" s="474" t="s">
        <v>470</v>
      </c>
      <c r="D24" s="475" t="s">
        <v>537</v>
      </c>
      <c r="E24" s="472"/>
      <c r="F24" s="472"/>
      <c r="G24" s="472"/>
      <c r="H24" s="472"/>
      <c r="I24" s="472"/>
      <c r="J24" s="472"/>
      <c r="K24" s="472"/>
      <c r="L24" s="472"/>
      <c r="M24" s="472"/>
      <c r="N24" s="472"/>
      <c r="O24" s="472"/>
      <c r="P24" s="472"/>
      <c r="Q24" s="472"/>
      <c r="R24" s="472"/>
      <c r="S24" s="476"/>
    </row>
  </sheetData>
  <mergeCells count="26">
    <mergeCell ref="C20:E20"/>
    <mergeCell ref="C21:E21"/>
    <mergeCell ref="C23:I23"/>
    <mergeCell ref="F2:L2"/>
    <mergeCell ref="F4:S4"/>
    <mergeCell ref="F5:F6"/>
    <mergeCell ref="G5:L5"/>
    <mergeCell ref="M5:M6"/>
    <mergeCell ref="N5:N6"/>
    <mergeCell ref="O5:O6"/>
    <mergeCell ref="R5:R6"/>
    <mergeCell ref="S5:S6"/>
    <mergeCell ref="I6:L6"/>
    <mergeCell ref="B8:B21"/>
    <mergeCell ref="C8:E8"/>
    <mergeCell ref="C9:C14"/>
    <mergeCell ref="D9:E9"/>
    <mergeCell ref="D10:E10"/>
    <mergeCell ref="D11:D14"/>
    <mergeCell ref="C15:E15"/>
    <mergeCell ref="C18:E18"/>
    <mergeCell ref="C19:E19"/>
    <mergeCell ref="P5:P6"/>
    <mergeCell ref="Q5:Q6"/>
    <mergeCell ref="C16:E16"/>
    <mergeCell ref="C17:E17"/>
  </mergeCells>
  <phoneticPr fontId="0" type="noConversion"/>
  <printOptions horizontalCentered="1" verticalCentered="1"/>
  <pageMargins left="0.75" right="0.75" top="1" bottom="1" header="0" footer="0"/>
  <pageSetup scale="44" orientation="landscape" horizontalDpi="1200" verticalDpi="1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62219-4147-4A07-BFE4-07C79E76A5E0}">
  <dimension ref="A1:Q17"/>
  <sheetViews>
    <sheetView workbookViewId="0"/>
  </sheetViews>
  <sheetFormatPr defaultColWidth="11" defaultRowHeight="13" x14ac:dyDescent="0.3"/>
  <cols>
    <col min="1" max="1" width="11" customWidth="1"/>
    <col min="2" max="4" width="12.6640625" bestFit="1" customWidth="1"/>
    <col min="5" max="5" width="13.6640625" bestFit="1" customWidth="1"/>
    <col min="6" max="6" width="12.6640625" bestFit="1" customWidth="1"/>
    <col min="7" max="7" width="11.109375" bestFit="1" customWidth="1"/>
    <col min="8" max="10" width="12.6640625" bestFit="1" customWidth="1"/>
    <col min="11" max="14" width="11.109375" bestFit="1" customWidth="1"/>
    <col min="15" max="15" width="12.6640625" bestFit="1" customWidth="1"/>
    <col min="16" max="17" width="13.6640625" bestFit="1" customWidth="1"/>
    <col min="18" max="18" width="11.109375" bestFit="1" customWidth="1"/>
    <col min="19" max="19" width="12.6640625" bestFit="1" customWidth="1"/>
    <col min="20" max="22" width="11.109375" bestFit="1" customWidth="1"/>
    <col min="23" max="23" width="12.6640625" bestFit="1" customWidth="1"/>
    <col min="24" max="24" width="13.6640625" bestFit="1" customWidth="1"/>
  </cols>
  <sheetData>
    <row r="1" spans="1:17" x14ac:dyDescent="0.3">
      <c r="B1" t="s">
        <v>471</v>
      </c>
      <c r="C1" t="s">
        <v>472</v>
      </c>
      <c r="D1" t="s">
        <v>473</v>
      </c>
      <c r="E1" t="s">
        <v>474</v>
      </c>
      <c r="F1" t="s">
        <v>475</v>
      </c>
      <c r="G1" t="s">
        <v>476</v>
      </c>
      <c r="H1" t="s">
        <v>477</v>
      </c>
      <c r="I1" t="s">
        <v>478</v>
      </c>
      <c r="J1" t="s">
        <v>479</v>
      </c>
      <c r="K1" t="s">
        <v>480</v>
      </c>
      <c r="L1" t="s">
        <v>481</v>
      </c>
      <c r="M1" t="s">
        <v>482</v>
      </c>
      <c r="N1" t="s">
        <v>483</v>
      </c>
      <c r="O1" t="s">
        <v>484</v>
      </c>
      <c r="P1" t="s">
        <v>485</v>
      </c>
      <c r="Q1" t="s">
        <v>491</v>
      </c>
    </row>
    <row r="2" spans="1:17" x14ac:dyDescent="0.3">
      <c r="A2">
        <v>1</v>
      </c>
      <c r="B2" s="414">
        <v>3558473643</v>
      </c>
      <c r="C2" s="414">
        <v>11788945</v>
      </c>
      <c r="D2" s="414">
        <v>33503752</v>
      </c>
      <c r="E2" s="414">
        <v>12472588030</v>
      </c>
      <c r="F2" s="414">
        <v>859668377</v>
      </c>
      <c r="G2" s="414">
        <v>409309251</v>
      </c>
      <c r="H2" s="414">
        <v>24438693</v>
      </c>
      <c r="I2" s="414">
        <v>35041482</v>
      </c>
      <c r="J2" s="414">
        <v>2491355</v>
      </c>
      <c r="K2" s="414">
        <v>0</v>
      </c>
      <c r="L2" s="414">
        <v>7310122</v>
      </c>
      <c r="M2" s="414">
        <v>0</v>
      </c>
      <c r="N2" s="414">
        <v>258288550</v>
      </c>
      <c r="O2" s="414">
        <v>5381468</v>
      </c>
      <c r="P2" s="414">
        <v>1216538435</v>
      </c>
      <c r="Q2" s="414">
        <f>+SUM(B2:P2)</f>
        <v>18894822103</v>
      </c>
    </row>
    <row r="3" spans="1:17" x14ac:dyDescent="0.3">
      <c r="A3">
        <v>2</v>
      </c>
      <c r="B3" s="414">
        <v>0</v>
      </c>
      <c r="C3" s="414">
        <v>94091047</v>
      </c>
      <c r="D3" s="414">
        <v>1435847</v>
      </c>
      <c r="E3" s="414">
        <v>5824152</v>
      </c>
      <c r="F3" s="414">
        <v>30988</v>
      </c>
      <c r="G3" s="414">
        <v>17768709</v>
      </c>
      <c r="H3" s="414">
        <v>3586182</v>
      </c>
      <c r="I3" s="414">
        <v>1235462</v>
      </c>
      <c r="J3" s="414">
        <v>433</v>
      </c>
      <c r="K3" s="414">
        <v>72</v>
      </c>
      <c r="L3" s="414">
        <v>29288</v>
      </c>
      <c r="M3" s="414">
        <v>0</v>
      </c>
      <c r="N3" s="414">
        <v>970284</v>
      </c>
      <c r="O3" s="414">
        <v>210064</v>
      </c>
      <c r="P3" s="414">
        <v>4164950</v>
      </c>
      <c r="Q3" s="414">
        <f t="shared" ref="Q3:Q16" si="0">+SUM(B3:P3)</f>
        <v>129347478</v>
      </c>
    </row>
    <row r="4" spans="1:17" x14ac:dyDescent="0.3">
      <c r="A4">
        <v>3</v>
      </c>
      <c r="B4" s="414">
        <v>348474</v>
      </c>
      <c r="C4" s="414">
        <v>24381962</v>
      </c>
      <c r="D4" s="414">
        <v>22230667</v>
      </c>
      <c r="E4" s="414">
        <v>1674570</v>
      </c>
      <c r="F4" s="414">
        <v>609774</v>
      </c>
      <c r="G4" s="414">
        <v>7331322</v>
      </c>
      <c r="H4" s="414">
        <v>1175072</v>
      </c>
      <c r="I4" s="414">
        <v>5563220</v>
      </c>
      <c r="J4" s="414">
        <v>1122524</v>
      </c>
      <c r="K4" s="414">
        <v>17454537</v>
      </c>
      <c r="L4" s="414">
        <v>92172</v>
      </c>
      <c r="M4" s="414">
        <v>621366</v>
      </c>
      <c r="N4" s="414">
        <v>2108962</v>
      </c>
      <c r="O4" s="414">
        <v>2493165</v>
      </c>
      <c r="P4" s="414">
        <v>1265699</v>
      </c>
      <c r="Q4" s="414">
        <f t="shared" si="0"/>
        <v>88473486</v>
      </c>
    </row>
    <row r="5" spans="1:17" x14ac:dyDescent="0.3">
      <c r="A5">
        <v>4</v>
      </c>
      <c r="B5" s="414">
        <v>1265628126</v>
      </c>
      <c r="C5" s="414">
        <v>77060039</v>
      </c>
      <c r="D5" s="414">
        <v>128411968</v>
      </c>
      <c r="E5" s="414">
        <v>8393627551</v>
      </c>
      <c r="F5" s="414">
        <v>684774819</v>
      </c>
      <c r="G5" s="414">
        <v>36671100</v>
      </c>
      <c r="H5" s="414">
        <v>491049762</v>
      </c>
      <c r="I5" s="414">
        <v>6173251</v>
      </c>
      <c r="J5" s="414">
        <v>134647959</v>
      </c>
      <c r="K5" s="414">
        <v>73047</v>
      </c>
      <c r="L5" s="414">
        <v>25500976</v>
      </c>
      <c r="M5" s="414">
        <v>0</v>
      </c>
      <c r="N5" s="414">
        <v>750303559</v>
      </c>
      <c r="O5" s="414">
        <v>182937908</v>
      </c>
      <c r="P5" s="414">
        <v>11397971896</v>
      </c>
      <c r="Q5" s="414">
        <f t="shared" si="0"/>
        <v>23574831961</v>
      </c>
    </row>
    <row r="6" spans="1:17" x14ac:dyDescent="0.3">
      <c r="A6">
        <v>5</v>
      </c>
      <c r="B6" s="414">
        <v>330642</v>
      </c>
      <c r="C6" s="414">
        <v>2156779</v>
      </c>
      <c r="D6" s="414">
        <v>694745</v>
      </c>
      <c r="E6" s="414">
        <v>2466959</v>
      </c>
      <c r="F6" s="414">
        <v>65261106</v>
      </c>
      <c r="G6" s="414">
        <v>3761249</v>
      </c>
      <c r="H6" s="414">
        <v>705729</v>
      </c>
      <c r="I6" s="414">
        <v>1320354</v>
      </c>
      <c r="J6" s="414">
        <v>771271</v>
      </c>
      <c r="K6" s="414">
        <v>539442</v>
      </c>
      <c r="L6" s="414">
        <v>2689675</v>
      </c>
      <c r="M6" s="414">
        <v>68186</v>
      </c>
      <c r="N6" s="414">
        <v>4803922</v>
      </c>
      <c r="O6" s="414">
        <v>7978585</v>
      </c>
      <c r="P6" s="414">
        <v>8873671</v>
      </c>
      <c r="Q6" s="414">
        <f t="shared" si="0"/>
        <v>102422315</v>
      </c>
    </row>
    <row r="7" spans="1:17" x14ac:dyDescent="0.3">
      <c r="A7">
        <v>6</v>
      </c>
      <c r="B7" s="414">
        <v>497995</v>
      </c>
      <c r="C7" s="414">
        <v>1302827</v>
      </c>
      <c r="D7" s="414">
        <v>1805824</v>
      </c>
      <c r="E7" s="414">
        <v>1693133</v>
      </c>
      <c r="F7" s="414">
        <v>964849</v>
      </c>
      <c r="G7" s="414">
        <v>8915130</v>
      </c>
      <c r="H7" s="414">
        <v>1622557</v>
      </c>
      <c r="I7" s="414">
        <v>12404917</v>
      </c>
      <c r="J7" s="414">
        <v>973568</v>
      </c>
      <c r="K7" s="414">
        <v>3186386</v>
      </c>
      <c r="L7" s="414">
        <v>344168</v>
      </c>
      <c r="M7" s="414">
        <v>899835</v>
      </c>
      <c r="N7" s="414">
        <v>1312028</v>
      </c>
      <c r="O7" s="414">
        <v>2947530</v>
      </c>
      <c r="P7" s="414">
        <v>937633</v>
      </c>
      <c r="Q7" s="414">
        <f t="shared" si="0"/>
        <v>39808380</v>
      </c>
    </row>
    <row r="8" spans="1:17" x14ac:dyDescent="0.3">
      <c r="A8">
        <v>7</v>
      </c>
      <c r="B8" s="414">
        <v>48147034</v>
      </c>
      <c r="C8" s="414">
        <v>9319000</v>
      </c>
      <c r="D8" s="414">
        <v>17808304</v>
      </c>
      <c r="E8" s="414">
        <v>28578119</v>
      </c>
      <c r="F8" s="414">
        <v>30601554</v>
      </c>
      <c r="G8" s="414">
        <v>92622979</v>
      </c>
      <c r="H8" s="414">
        <v>122723164</v>
      </c>
      <c r="I8" s="414">
        <v>16254718</v>
      </c>
      <c r="J8" s="414">
        <v>13994940</v>
      </c>
      <c r="K8" s="414">
        <v>3945861</v>
      </c>
      <c r="L8" s="414">
        <v>17248673</v>
      </c>
      <c r="M8" s="414">
        <v>21257016</v>
      </c>
      <c r="N8" s="414">
        <v>16866770</v>
      </c>
      <c r="O8" s="414">
        <v>40520076</v>
      </c>
      <c r="P8" s="414">
        <v>13519907</v>
      </c>
      <c r="Q8" s="414">
        <f t="shared" si="0"/>
        <v>493408115</v>
      </c>
    </row>
    <row r="9" spans="1:17" x14ac:dyDescent="0.3">
      <c r="A9">
        <v>8</v>
      </c>
      <c r="B9" s="414">
        <v>0</v>
      </c>
      <c r="C9" s="414">
        <v>87420</v>
      </c>
      <c r="D9" s="414">
        <v>3382732</v>
      </c>
      <c r="E9" s="414">
        <v>255933</v>
      </c>
      <c r="F9" s="414">
        <v>822438</v>
      </c>
      <c r="G9" s="414">
        <v>745502</v>
      </c>
      <c r="H9" s="414">
        <v>383246</v>
      </c>
      <c r="I9" s="414">
        <v>1464810</v>
      </c>
      <c r="J9" s="414">
        <v>526620</v>
      </c>
      <c r="K9" s="414">
        <v>3346812</v>
      </c>
      <c r="L9" s="414">
        <v>419048</v>
      </c>
      <c r="M9" s="414">
        <v>107148</v>
      </c>
      <c r="N9" s="414">
        <v>11476711</v>
      </c>
      <c r="O9" s="414">
        <v>7127031</v>
      </c>
      <c r="P9" s="414">
        <v>3095823</v>
      </c>
      <c r="Q9" s="414">
        <f t="shared" si="0"/>
        <v>33241274</v>
      </c>
    </row>
    <row r="10" spans="1:17" x14ac:dyDescent="0.3">
      <c r="A10">
        <v>9</v>
      </c>
      <c r="B10" s="414">
        <v>0</v>
      </c>
      <c r="C10" s="414">
        <v>0</v>
      </c>
      <c r="D10" s="414">
        <v>0</v>
      </c>
      <c r="E10" s="414">
        <v>0</v>
      </c>
      <c r="F10" s="414">
        <v>0</v>
      </c>
      <c r="G10" s="414">
        <v>0</v>
      </c>
      <c r="H10" s="414">
        <v>0</v>
      </c>
      <c r="I10" s="414">
        <v>0</v>
      </c>
      <c r="J10" s="414">
        <v>0</v>
      </c>
      <c r="K10" s="414">
        <v>0</v>
      </c>
      <c r="L10" s="414">
        <v>0</v>
      </c>
      <c r="M10" s="414">
        <v>0</v>
      </c>
      <c r="N10" s="414">
        <v>0</v>
      </c>
      <c r="O10" s="414">
        <v>0</v>
      </c>
      <c r="P10" s="414">
        <v>0</v>
      </c>
      <c r="Q10" s="414">
        <f t="shared" si="0"/>
        <v>0</v>
      </c>
    </row>
    <row r="11" spans="1:17" x14ac:dyDescent="0.3">
      <c r="A11">
        <v>10</v>
      </c>
      <c r="B11" s="414">
        <v>10198836</v>
      </c>
      <c r="C11" s="414">
        <v>21391131</v>
      </c>
      <c r="D11" s="414">
        <v>58682813</v>
      </c>
      <c r="E11" s="414">
        <v>51155569</v>
      </c>
      <c r="F11" s="414">
        <v>27967491</v>
      </c>
      <c r="G11" s="414">
        <v>39305887</v>
      </c>
      <c r="H11" s="414">
        <v>14708138</v>
      </c>
      <c r="I11" s="414">
        <v>34561922</v>
      </c>
      <c r="J11" s="414">
        <v>239420727</v>
      </c>
      <c r="K11" s="414">
        <v>86104034</v>
      </c>
      <c r="L11" s="414">
        <v>3584777</v>
      </c>
      <c r="M11" s="414">
        <v>8483186</v>
      </c>
      <c r="N11" s="414">
        <v>27027450</v>
      </c>
      <c r="O11" s="414">
        <v>55697141</v>
      </c>
      <c r="P11" s="414">
        <v>27781026</v>
      </c>
      <c r="Q11" s="414">
        <f t="shared" si="0"/>
        <v>706070128</v>
      </c>
    </row>
    <row r="12" spans="1:17" x14ac:dyDescent="0.3">
      <c r="A12">
        <v>11</v>
      </c>
      <c r="B12" s="414">
        <v>0</v>
      </c>
      <c r="C12" s="414">
        <v>0</v>
      </c>
      <c r="D12" s="414">
        <v>0</v>
      </c>
      <c r="E12" s="414">
        <v>0</v>
      </c>
      <c r="F12" s="414">
        <v>0</v>
      </c>
      <c r="G12" s="414">
        <v>0</v>
      </c>
      <c r="H12" s="414">
        <v>0</v>
      </c>
      <c r="I12" s="414">
        <v>0</v>
      </c>
      <c r="J12" s="414">
        <v>0</v>
      </c>
      <c r="K12" s="414">
        <v>0</v>
      </c>
      <c r="L12" s="414">
        <v>1811620</v>
      </c>
      <c r="M12" s="414">
        <v>0</v>
      </c>
      <c r="N12" s="414">
        <v>0</v>
      </c>
      <c r="O12" s="414">
        <v>0</v>
      </c>
      <c r="P12" s="414">
        <v>0</v>
      </c>
      <c r="Q12" s="414">
        <f t="shared" si="0"/>
        <v>1811620</v>
      </c>
    </row>
    <row r="13" spans="1:17" x14ac:dyDescent="0.3">
      <c r="A13">
        <v>12</v>
      </c>
      <c r="B13" s="414">
        <v>0</v>
      </c>
      <c r="C13" s="414">
        <v>102606</v>
      </c>
      <c r="D13" s="414">
        <v>784376</v>
      </c>
      <c r="E13" s="414">
        <v>339912</v>
      </c>
      <c r="F13" s="414">
        <v>2381033</v>
      </c>
      <c r="G13" s="414">
        <v>3097620</v>
      </c>
      <c r="H13" s="414">
        <v>0</v>
      </c>
      <c r="I13" s="414">
        <v>2622864</v>
      </c>
      <c r="J13" s="414">
        <v>872299</v>
      </c>
      <c r="K13" s="414">
        <v>334905</v>
      </c>
      <c r="L13" s="414">
        <v>188011</v>
      </c>
      <c r="M13" s="414">
        <v>4540794</v>
      </c>
      <c r="N13" s="414">
        <v>1615230</v>
      </c>
      <c r="O13" s="414">
        <v>22280686</v>
      </c>
      <c r="P13" s="414">
        <v>191235</v>
      </c>
      <c r="Q13" s="414">
        <f t="shared" si="0"/>
        <v>39351571</v>
      </c>
    </row>
    <row r="14" spans="1:17" x14ac:dyDescent="0.3">
      <c r="A14">
        <v>13</v>
      </c>
      <c r="B14" s="414">
        <v>0</v>
      </c>
      <c r="C14" s="414">
        <v>0</v>
      </c>
      <c r="D14" s="414">
        <v>0</v>
      </c>
      <c r="E14" s="414">
        <v>0</v>
      </c>
      <c r="F14" s="414">
        <v>0</v>
      </c>
      <c r="G14" s="414">
        <v>0</v>
      </c>
      <c r="H14" s="414">
        <v>0</v>
      </c>
      <c r="I14" s="414">
        <v>0</v>
      </c>
      <c r="J14" s="414">
        <v>0</v>
      </c>
      <c r="K14" s="414">
        <v>0</v>
      </c>
      <c r="L14" s="414">
        <v>0</v>
      </c>
      <c r="M14" s="414">
        <v>0</v>
      </c>
      <c r="N14" s="414">
        <v>0</v>
      </c>
      <c r="O14" s="414">
        <v>0</v>
      </c>
      <c r="P14" s="414">
        <v>0</v>
      </c>
      <c r="Q14" s="414">
        <f t="shared" si="0"/>
        <v>0</v>
      </c>
    </row>
    <row r="15" spans="1:17" x14ac:dyDescent="0.3">
      <c r="A15">
        <v>14</v>
      </c>
      <c r="B15" s="414">
        <v>2926</v>
      </c>
      <c r="C15" s="414">
        <v>3390</v>
      </c>
      <c r="D15" s="414">
        <v>7309</v>
      </c>
      <c r="E15" s="414">
        <v>6230</v>
      </c>
      <c r="F15" s="414">
        <v>4715</v>
      </c>
      <c r="G15" s="414">
        <v>9220</v>
      </c>
      <c r="H15" s="414">
        <v>3679</v>
      </c>
      <c r="I15" s="414">
        <v>5697</v>
      </c>
      <c r="J15" s="414">
        <v>16032</v>
      </c>
      <c r="K15" s="414">
        <v>21105</v>
      </c>
      <c r="L15" s="414">
        <v>4067</v>
      </c>
      <c r="M15" s="414">
        <v>4208</v>
      </c>
      <c r="N15" s="414">
        <v>8139</v>
      </c>
      <c r="O15" s="414">
        <v>37212</v>
      </c>
      <c r="P15" s="414">
        <v>5908</v>
      </c>
      <c r="Q15" s="414">
        <f t="shared" si="0"/>
        <v>139837</v>
      </c>
    </row>
    <row r="16" spans="1:17" x14ac:dyDescent="0.3">
      <c r="A16">
        <v>15</v>
      </c>
      <c r="B16" s="414">
        <v>0</v>
      </c>
      <c r="C16" s="414">
        <v>2218</v>
      </c>
      <c r="D16" s="414">
        <v>11206</v>
      </c>
      <c r="E16" s="414">
        <v>5805</v>
      </c>
      <c r="F16" s="414">
        <v>1039</v>
      </c>
      <c r="G16" s="414">
        <v>14370</v>
      </c>
      <c r="H16" s="414">
        <v>4857</v>
      </c>
      <c r="I16" s="414">
        <v>13026</v>
      </c>
      <c r="J16" s="414">
        <v>12345</v>
      </c>
      <c r="K16" s="414">
        <v>65225</v>
      </c>
      <c r="L16" s="414">
        <v>1367</v>
      </c>
      <c r="M16" s="414">
        <v>154</v>
      </c>
      <c r="N16" s="414">
        <v>52987</v>
      </c>
      <c r="O16" s="414">
        <v>66763</v>
      </c>
      <c r="P16" s="414">
        <v>9757</v>
      </c>
      <c r="Q16" s="414">
        <f t="shared" si="0"/>
        <v>261119</v>
      </c>
    </row>
    <row r="17" spans="17:17" x14ac:dyDescent="0.3">
      <c r="Q17" s="209"/>
    </row>
  </sheetData>
  <phoneticPr fontId="0" type="noConversion"/>
  <pageMargins left="0.75" right="0.75" top="1" bottom="1" header="0" footer="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2DDAB-AD6D-4DE1-988C-B560A3D2155C}">
  <dimension ref="A1:AP147"/>
  <sheetViews>
    <sheetView topLeftCell="E45" workbookViewId="0">
      <selection activeCell="B70" sqref="B70:J84"/>
    </sheetView>
  </sheetViews>
  <sheetFormatPr defaultColWidth="12" defaultRowHeight="13" x14ac:dyDescent="0.3"/>
  <cols>
    <col min="1" max="1" width="13.6640625" style="649" bestFit="1" customWidth="1"/>
    <col min="2" max="2" width="36.44140625" style="649" bestFit="1" customWidth="1"/>
    <col min="3" max="3" width="16.6640625" style="650" customWidth="1"/>
    <col min="4" max="4" width="18.6640625" style="650" customWidth="1"/>
    <col min="5" max="5" width="16.6640625" style="650" customWidth="1"/>
    <col min="6" max="6" width="18.88671875" style="650" customWidth="1"/>
    <col min="7" max="9" width="16.6640625" style="650" customWidth="1"/>
    <col min="10" max="10" width="12" style="649" customWidth="1"/>
    <col min="11" max="11" width="36.44140625" style="649" bestFit="1" customWidth="1"/>
    <col min="12" max="12" width="12.6640625" style="650" bestFit="1" customWidth="1"/>
    <col min="13" max="16" width="12.6640625" style="650" customWidth="1"/>
    <col min="17" max="17" width="12.6640625" style="650" bestFit="1" customWidth="1"/>
    <col min="18" max="18" width="14.33203125" style="650" customWidth="1"/>
    <col min="19" max="19" width="12.6640625" style="650" bestFit="1" customWidth="1"/>
    <col min="20" max="20" width="12" style="649" customWidth="1"/>
    <col min="21" max="21" width="18.6640625" style="649" customWidth="1"/>
    <col min="22" max="22" width="28.33203125" style="649" bestFit="1" customWidth="1"/>
    <col min="23" max="23" width="32.44140625" style="649" bestFit="1" customWidth="1"/>
    <col min="24" max="24" width="25.33203125" style="649" bestFit="1" customWidth="1"/>
    <col min="25" max="25" width="29.44140625" style="649" bestFit="1" customWidth="1"/>
    <col min="26" max="26" width="16.6640625" style="649" bestFit="1" customWidth="1"/>
    <col min="27" max="27" width="13.6640625" style="649" bestFit="1" customWidth="1"/>
    <col min="28" max="16384" width="12" style="649"/>
  </cols>
  <sheetData>
    <row r="1" spans="2:19" s="651" customFormat="1" ht="54" customHeight="1" x14ac:dyDescent="0.3">
      <c r="C1" s="649" t="s">
        <v>565</v>
      </c>
    </row>
    <row r="2" spans="2:19" x14ac:dyDescent="0.3">
      <c r="B2" s="652"/>
      <c r="C2" s="652" t="s">
        <v>646</v>
      </c>
      <c r="D2" s="652" t="s">
        <v>647</v>
      </c>
      <c r="E2" s="652" t="s">
        <v>648</v>
      </c>
      <c r="F2" s="652" t="s">
        <v>649</v>
      </c>
      <c r="G2" s="652" t="s">
        <v>10</v>
      </c>
      <c r="H2" s="652" t="s">
        <v>11</v>
      </c>
      <c r="I2" s="652" t="s">
        <v>491</v>
      </c>
      <c r="L2" s="649"/>
      <c r="M2" s="649"/>
      <c r="N2" s="649"/>
      <c r="O2" s="649"/>
      <c r="P2" s="649"/>
      <c r="Q2" s="649"/>
      <c r="R2" s="649"/>
      <c r="S2" s="649"/>
    </row>
    <row r="3" spans="2:19" x14ac:dyDescent="0.3">
      <c r="B3" s="379" t="s">
        <v>669</v>
      </c>
      <c r="C3" s="758">
        <v>1910270373.8299999</v>
      </c>
      <c r="D3" s="758">
        <v>2366546593.5100002</v>
      </c>
      <c r="E3" s="758">
        <v>6372752226.3900003</v>
      </c>
      <c r="F3" s="758">
        <v>2782016534.5500002</v>
      </c>
      <c r="G3" s="758"/>
      <c r="H3" s="758"/>
      <c r="I3" s="667">
        <f>+SUM(C3:H3)</f>
        <v>13431585728.279999</v>
      </c>
      <c r="L3" s="649"/>
      <c r="M3" s="649"/>
      <c r="N3" s="649"/>
      <c r="O3" s="649"/>
      <c r="P3" s="649"/>
      <c r="Q3" s="649"/>
      <c r="R3" s="649"/>
      <c r="S3" s="649"/>
    </row>
    <row r="4" spans="2:19" x14ac:dyDescent="0.3">
      <c r="B4" s="379" t="s">
        <v>670</v>
      </c>
      <c r="C4" s="758"/>
      <c r="D4" s="758"/>
      <c r="E4" s="758"/>
      <c r="F4" s="758"/>
      <c r="G4" s="758">
        <v>1396694499.4400001</v>
      </c>
      <c r="H4" s="758">
        <v>904238104.21000004</v>
      </c>
      <c r="I4" s="669">
        <f t="shared" ref="I4:I10" si="0">+SUM(C4:H4)</f>
        <v>2300932603.6500001</v>
      </c>
      <c r="L4" s="649"/>
      <c r="M4" s="649"/>
      <c r="N4" s="649"/>
      <c r="O4" s="649"/>
      <c r="P4" s="649"/>
      <c r="Q4" s="649"/>
      <c r="R4" s="649"/>
      <c r="S4" s="649"/>
    </row>
    <row r="5" spans="2:19" x14ac:dyDescent="0.3">
      <c r="B5" s="379" t="s">
        <v>675</v>
      </c>
      <c r="C5" s="758">
        <v>795439563.63999999</v>
      </c>
      <c r="D5" s="758">
        <v>1541589961.3399999</v>
      </c>
      <c r="E5" s="758">
        <v>5380510257.1899996</v>
      </c>
      <c r="F5" s="758">
        <v>1978746065.0599999</v>
      </c>
      <c r="G5" s="758"/>
      <c r="H5" s="758"/>
      <c r="I5" s="669">
        <f t="shared" si="0"/>
        <v>9696285847.2299995</v>
      </c>
      <c r="L5" s="649"/>
      <c r="M5" s="649"/>
      <c r="N5" s="649"/>
      <c r="O5" s="649"/>
      <c r="P5" s="649"/>
      <c r="Q5" s="649"/>
      <c r="R5" s="649"/>
      <c r="S5" s="649"/>
    </row>
    <row r="6" spans="2:19" x14ac:dyDescent="0.3">
      <c r="B6" s="379" t="s">
        <v>671</v>
      </c>
      <c r="C6" s="758"/>
      <c r="D6" s="758"/>
      <c r="E6" s="758"/>
      <c r="F6" s="758"/>
      <c r="G6" s="758">
        <v>3996145926.4699998</v>
      </c>
      <c r="H6" s="758">
        <v>1876473357.8699999</v>
      </c>
      <c r="I6" s="669">
        <f t="shared" si="0"/>
        <v>5872619284.3400002</v>
      </c>
      <c r="L6" s="649"/>
      <c r="M6" s="649"/>
      <c r="N6" s="649"/>
      <c r="O6" s="649"/>
      <c r="P6" s="649"/>
      <c r="Q6" s="649"/>
      <c r="R6" s="649"/>
      <c r="S6" s="649"/>
    </row>
    <row r="7" spans="2:19" x14ac:dyDescent="0.3">
      <c r="B7" s="379" t="s">
        <v>672</v>
      </c>
      <c r="C7" s="758">
        <v>457535701.87</v>
      </c>
      <c r="D7" s="758">
        <v>878407658.54999995</v>
      </c>
      <c r="E7" s="758">
        <v>1854729044.3099999</v>
      </c>
      <c r="F7" s="758">
        <v>706976727.32000005</v>
      </c>
      <c r="G7" s="758"/>
      <c r="H7" s="758"/>
      <c r="I7" s="669">
        <f t="shared" si="0"/>
        <v>3897649132.0500002</v>
      </c>
      <c r="L7" s="649"/>
      <c r="M7" s="649"/>
      <c r="N7" s="649"/>
      <c r="O7" s="649"/>
      <c r="P7" s="649"/>
      <c r="Q7" s="649"/>
      <c r="R7" s="649"/>
      <c r="S7" s="649"/>
    </row>
    <row r="8" spans="2:19" x14ac:dyDescent="0.3">
      <c r="B8" s="379" t="s">
        <v>673</v>
      </c>
      <c r="C8" s="758"/>
      <c r="D8" s="758"/>
      <c r="E8" s="758"/>
      <c r="F8" s="758"/>
      <c r="G8" s="758">
        <v>1490074456.8299999</v>
      </c>
      <c r="H8" s="758">
        <v>536370602.72000003</v>
      </c>
      <c r="I8" s="704">
        <f t="shared" si="0"/>
        <v>2026445059.55</v>
      </c>
      <c r="L8" s="649"/>
      <c r="M8" s="649"/>
      <c r="N8" s="649"/>
      <c r="O8" s="649"/>
      <c r="P8" s="649"/>
      <c r="Q8" s="649"/>
      <c r="R8" s="649"/>
      <c r="S8" s="649"/>
    </row>
    <row r="9" spans="2:19" x14ac:dyDescent="0.3">
      <c r="B9" s="379" t="s">
        <v>674</v>
      </c>
      <c r="C9" s="758">
        <v>2743386900.3899999</v>
      </c>
      <c r="D9" s="758">
        <v>3281436931.7399998</v>
      </c>
      <c r="E9" s="758">
        <v>26954756975.060001</v>
      </c>
      <c r="F9" s="758">
        <v>10473133207.780001</v>
      </c>
      <c r="G9" s="758"/>
      <c r="H9" s="758"/>
      <c r="I9" s="704">
        <f t="shared" si="0"/>
        <v>43452714014.970001</v>
      </c>
      <c r="L9" s="649"/>
      <c r="M9" s="649"/>
      <c r="N9" s="649"/>
      <c r="O9" s="649"/>
      <c r="P9" s="649"/>
      <c r="Q9" s="649"/>
      <c r="R9" s="649"/>
      <c r="S9" s="649"/>
    </row>
    <row r="10" spans="2:19" x14ac:dyDescent="0.3">
      <c r="B10" s="705" t="s">
        <v>491</v>
      </c>
      <c r="C10" s="650">
        <f t="shared" ref="C10:H10" si="1">+SUM(C3:C9)</f>
        <v>5906632539.7299995</v>
      </c>
      <c r="D10" s="650">
        <f t="shared" si="1"/>
        <v>8067981145.1400003</v>
      </c>
      <c r="E10" s="650">
        <f t="shared" si="1"/>
        <v>40562748502.949997</v>
      </c>
      <c r="F10" s="650">
        <f t="shared" si="1"/>
        <v>15940872534.710001</v>
      </c>
      <c r="G10" s="650">
        <f t="shared" si="1"/>
        <v>6882914882.7399998</v>
      </c>
      <c r="H10" s="650">
        <f t="shared" si="1"/>
        <v>3317082064.8000002</v>
      </c>
      <c r="I10" s="756">
        <f t="shared" si="0"/>
        <v>80678231670.070007</v>
      </c>
      <c r="L10" s="649"/>
      <c r="M10" s="649"/>
      <c r="N10" s="649"/>
      <c r="O10" s="649"/>
      <c r="P10" s="649"/>
      <c r="Q10" s="649"/>
      <c r="R10" s="649"/>
      <c r="S10" s="649"/>
    </row>
    <row r="11" spans="2:19" x14ac:dyDescent="0.3">
      <c r="C11" s="649"/>
      <c r="D11" s="649"/>
      <c r="E11" s="649"/>
      <c r="F11" s="649"/>
      <c r="G11" s="649"/>
      <c r="H11" s="649"/>
      <c r="I11" s="649"/>
      <c r="L11" s="649"/>
      <c r="M11" s="649"/>
      <c r="N11" s="649"/>
      <c r="O11" s="649"/>
      <c r="P11" s="649"/>
      <c r="Q11" s="649"/>
      <c r="R11" s="649"/>
      <c r="S11" s="649"/>
    </row>
    <row r="12" spans="2:19" x14ac:dyDescent="0.3">
      <c r="C12" s="649"/>
      <c r="D12" s="649"/>
      <c r="E12" s="649"/>
      <c r="F12" s="649"/>
      <c r="G12" s="649"/>
      <c r="H12" s="649"/>
      <c r="I12" s="649"/>
      <c r="L12" s="649"/>
      <c r="M12" s="649"/>
      <c r="N12" s="649"/>
      <c r="O12" s="649"/>
      <c r="P12" s="649"/>
      <c r="Q12" s="649"/>
      <c r="R12" s="649"/>
      <c r="S12" s="649"/>
    </row>
    <row r="13" spans="2:19" x14ac:dyDescent="0.3">
      <c r="C13" s="650">
        <v>1</v>
      </c>
      <c r="D13" s="650">
        <v>2</v>
      </c>
      <c r="E13" s="650">
        <v>3</v>
      </c>
      <c r="F13" s="650">
        <v>4</v>
      </c>
      <c r="G13" s="650">
        <v>5</v>
      </c>
      <c r="H13" s="650">
        <v>6</v>
      </c>
      <c r="I13" s="650">
        <v>7</v>
      </c>
      <c r="J13" s="650">
        <v>8</v>
      </c>
      <c r="K13" s="650">
        <v>9</v>
      </c>
      <c r="L13" s="650">
        <v>10</v>
      </c>
      <c r="M13" s="650">
        <v>11</v>
      </c>
      <c r="N13" s="650">
        <v>12</v>
      </c>
      <c r="O13" s="650">
        <v>13</v>
      </c>
      <c r="P13" s="650">
        <v>14</v>
      </c>
      <c r="Q13" s="650">
        <v>15</v>
      </c>
      <c r="R13" s="649" t="s">
        <v>491</v>
      </c>
      <c r="S13" s="649"/>
    </row>
    <row r="14" spans="2:19" x14ac:dyDescent="0.3">
      <c r="B14" s="649" t="s">
        <v>390</v>
      </c>
      <c r="J14" s="650"/>
      <c r="K14" s="650"/>
      <c r="L14" s="649"/>
      <c r="O14" s="649"/>
      <c r="P14" s="649"/>
      <c r="Q14" s="649"/>
      <c r="R14" s="649"/>
      <c r="S14" s="649"/>
    </row>
    <row r="15" spans="2:19" x14ac:dyDescent="0.3">
      <c r="B15" s="653">
        <v>1</v>
      </c>
      <c r="C15" s="757">
        <v>261059</v>
      </c>
      <c r="D15" s="757">
        <v>37335</v>
      </c>
      <c r="E15" s="757">
        <v>16126</v>
      </c>
      <c r="F15" s="757">
        <v>45533</v>
      </c>
      <c r="G15" s="757">
        <v>39700</v>
      </c>
      <c r="H15" s="757">
        <v>66336</v>
      </c>
      <c r="I15" s="757">
        <v>6381</v>
      </c>
      <c r="J15" s="757">
        <v>112547</v>
      </c>
      <c r="K15" s="757">
        <v>179223</v>
      </c>
      <c r="L15" s="757">
        <v>63402</v>
      </c>
      <c r="M15" s="757">
        <v>1790</v>
      </c>
      <c r="N15" s="757">
        <v>2347</v>
      </c>
      <c r="O15" s="757">
        <v>52359</v>
      </c>
      <c r="P15" s="757">
        <v>76667</v>
      </c>
      <c r="Q15" s="757">
        <v>245752</v>
      </c>
      <c r="R15" s="649">
        <v>1206558</v>
      </c>
      <c r="S15" s="649"/>
    </row>
    <row r="16" spans="2:19" x14ac:dyDescent="0.3">
      <c r="B16" s="653">
        <v>2</v>
      </c>
      <c r="C16" s="757">
        <v>258421</v>
      </c>
      <c r="D16" s="757">
        <v>15610</v>
      </c>
      <c r="E16" s="757">
        <v>2426</v>
      </c>
      <c r="F16" s="757">
        <v>13504</v>
      </c>
      <c r="G16" s="757">
        <v>44068</v>
      </c>
      <c r="H16" s="757">
        <v>58263</v>
      </c>
      <c r="I16" s="757">
        <v>1806</v>
      </c>
      <c r="J16" s="757">
        <v>60183</v>
      </c>
      <c r="K16" s="757">
        <v>544388</v>
      </c>
      <c r="L16" s="757">
        <v>139209</v>
      </c>
      <c r="M16" s="757">
        <v>4155</v>
      </c>
      <c r="N16" s="757">
        <v>151</v>
      </c>
      <c r="O16" s="757"/>
      <c r="P16" s="757">
        <v>88728</v>
      </c>
      <c r="Q16" s="757">
        <v>217024</v>
      </c>
      <c r="R16" s="649">
        <v>1447937</v>
      </c>
      <c r="S16" s="649"/>
    </row>
    <row r="17" spans="2:38" x14ac:dyDescent="0.3">
      <c r="B17" s="653">
        <v>3</v>
      </c>
      <c r="C17" s="757">
        <v>126838</v>
      </c>
      <c r="D17" s="757">
        <v>33647</v>
      </c>
      <c r="E17" s="757">
        <v>54856</v>
      </c>
      <c r="F17" s="757">
        <v>71450</v>
      </c>
      <c r="G17" s="757">
        <v>125564</v>
      </c>
      <c r="H17" s="757">
        <v>123131</v>
      </c>
      <c r="I17" s="757">
        <v>55884</v>
      </c>
      <c r="J17" s="757">
        <v>135213</v>
      </c>
      <c r="K17" s="757">
        <v>445066</v>
      </c>
      <c r="L17" s="757">
        <v>190096</v>
      </c>
      <c r="M17" s="757">
        <v>24400</v>
      </c>
      <c r="N17" s="757">
        <v>127508</v>
      </c>
      <c r="O17" s="757">
        <v>666899</v>
      </c>
      <c r="P17" s="757">
        <v>422617</v>
      </c>
      <c r="Q17" s="757">
        <v>263325</v>
      </c>
      <c r="R17" s="649">
        <v>2866495</v>
      </c>
      <c r="S17" s="649"/>
    </row>
    <row r="18" spans="2:38" x14ac:dyDescent="0.3">
      <c r="B18" s="653">
        <v>4</v>
      </c>
      <c r="C18" s="757">
        <v>76925</v>
      </c>
      <c r="D18" s="757">
        <v>4817</v>
      </c>
      <c r="E18" s="757">
        <v>1532</v>
      </c>
      <c r="F18" s="757">
        <v>17488</v>
      </c>
      <c r="G18" s="757">
        <v>63478</v>
      </c>
      <c r="H18" s="757">
        <v>68520</v>
      </c>
      <c r="I18" s="757">
        <v>11588</v>
      </c>
      <c r="J18" s="757">
        <v>74454</v>
      </c>
      <c r="K18" s="757">
        <v>483599</v>
      </c>
      <c r="L18" s="757">
        <v>203666</v>
      </c>
      <c r="M18" s="757">
        <v>10681</v>
      </c>
      <c r="N18" s="757">
        <v>44126</v>
      </c>
      <c r="O18" s="757"/>
      <c r="P18" s="757">
        <v>236259</v>
      </c>
      <c r="Q18" s="757">
        <v>125348</v>
      </c>
      <c r="R18" s="649">
        <v>1422481</v>
      </c>
      <c r="S18" s="649"/>
    </row>
    <row r="19" spans="2:38" x14ac:dyDescent="0.3">
      <c r="B19" s="653">
        <v>5</v>
      </c>
      <c r="C19" s="757">
        <v>2843708</v>
      </c>
      <c r="D19" s="757">
        <v>18332</v>
      </c>
      <c r="E19" s="757">
        <v>18312</v>
      </c>
      <c r="F19" s="757">
        <v>19547</v>
      </c>
      <c r="G19" s="757">
        <v>72516</v>
      </c>
      <c r="H19" s="757">
        <v>36714</v>
      </c>
      <c r="I19" s="757">
        <v>872</v>
      </c>
      <c r="J19" s="757">
        <v>38539</v>
      </c>
      <c r="K19" s="757">
        <v>212498</v>
      </c>
      <c r="L19" s="757">
        <v>33083</v>
      </c>
      <c r="M19" s="757">
        <v>1914</v>
      </c>
      <c r="N19" s="757">
        <v>213</v>
      </c>
      <c r="O19" s="757">
        <v>29532</v>
      </c>
      <c r="P19" s="757">
        <v>17906</v>
      </c>
      <c r="Q19" s="757">
        <v>99439</v>
      </c>
      <c r="R19" s="649">
        <v>3443126</v>
      </c>
      <c r="S19" s="649"/>
    </row>
    <row r="20" spans="2:38" x14ac:dyDescent="0.3">
      <c r="B20" s="653">
        <v>6</v>
      </c>
      <c r="C20" s="757">
        <v>340715</v>
      </c>
      <c r="D20" s="757">
        <v>7287</v>
      </c>
      <c r="E20" s="757">
        <v>6954</v>
      </c>
      <c r="F20" s="757">
        <v>11886</v>
      </c>
      <c r="G20" s="757">
        <v>11326</v>
      </c>
      <c r="H20" s="757">
        <v>10490</v>
      </c>
      <c r="I20" s="757">
        <v>279</v>
      </c>
      <c r="J20" s="757">
        <v>15792</v>
      </c>
      <c r="K20" s="757">
        <v>62554</v>
      </c>
      <c r="L20" s="757">
        <v>31196</v>
      </c>
      <c r="M20" s="757">
        <v>1491</v>
      </c>
      <c r="N20" s="757">
        <v>4696</v>
      </c>
      <c r="O20" s="757">
        <v>109274</v>
      </c>
      <c r="P20" s="757">
        <v>22737</v>
      </c>
      <c r="Q20" s="757">
        <v>31668</v>
      </c>
      <c r="R20" s="649">
        <v>668345</v>
      </c>
      <c r="S20" s="649"/>
    </row>
    <row r="21" spans="2:38" x14ac:dyDescent="0.3">
      <c r="B21" s="653" t="s">
        <v>491</v>
      </c>
      <c r="C21" s="657">
        <v>3907666</v>
      </c>
      <c r="D21" s="657">
        <v>117028</v>
      </c>
      <c r="E21" s="657">
        <v>100207</v>
      </c>
      <c r="F21" s="657">
        <v>179409</v>
      </c>
      <c r="G21" s="657">
        <v>356652</v>
      </c>
      <c r="H21" s="657">
        <v>363454</v>
      </c>
      <c r="I21" s="657">
        <v>76812</v>
      </c>
      <c r="J21" s="657">
        <v>436729</v>
      </c>
      <c r="K21" s="657">
        <v>1927327</v>
      </c>
      <c r="L21" s="657">
        <v>660652</v>
      </c>
      <c r="M21" s="657">
        <v>44431</v>
      </c>
      <c r="N21" s="657">
        <v>179042</v>
      </c>
      <c r="O21" s="657">
        <v>858065</v>
      </c>
      <c r="P21" s="657">
        <v>864915</v>
      </c>
      <c r="Q21" s="657">
        <v>982555</v>
      </c>
      <c r="R21" s="649">
        <v>11054942</v>
      </c>
      <c r="S21" s="649"/>
    </row>
    <row r="22" spans="2:38" x14ac:dyDescent="0.3">
      <c r="B22" s="655"/>
      <c r="C22" s="656"/>
      <c r="I22" s="649"/>
      <c r="K22" s="650"/>
      <c r="O22" s="649"/>
      <c r="P22" s="649"/>
      <c r="R22" s="649"/>
      <c r="S22" s="649"/>
    </row>
    <row r="23" spans="2:38" x14ac:dyDescent="0.3">
      <c r="B23" s="751" t="s">
        <v>960</v>
      </c>
      <c r="C23" s="649"/>
      <c r="D23" s="649"/>
      <c r="E23" s="649"/>
      <c r="F23" s="649"/>
      <c r="G23" s="649"/>
      <c r="H23" s="649"/>
      <c r="I23" s="649"/>
      <c r="L23" s="649"/>
      <c r="M23" s="649"/>
      <c r="N23" s="649"/>
      <c r="O23" s="649"/>
      <c r="P23" s="649"/>
      <c r="Q23" s="649"/>
      <c r="R23" s="649" t="s">
        <v>491</v>
      </c>
      <c r="S23" s="649"/>
    </row>
    <row r="24" spans="2:38" x14ac:dyDescent="0.3">
      <c r="B24" s="653">
        <v>1</v>
      </c>
      <c r="C24" s="650">
        <v>669658581.04999995</v>
      </c>
      <c r="D24" s="650">
        <v>330949562.19999999</v>
      </c>
      <c r="E24" s="650">
        <v>293505484.39999998</v>
      </c>
      <c r="F24" s="650">
        <v>273134969.67000002</v>
      </c>
      <c r="G24" s="650">
        <v>215408331.47999999</v>
      </c>
      <c r="H24" s="650">
        <v>324992376.19999999</v>
      </c>
      <c r="I24" s="650">
        <v>49827948.079999998</v>
      </c>
      <c r="J24" s="649">
        <v>735150717.82000005</v>
      </c>
      <c r="K24" s="650">
        <v>464005947.98000002</v>
      </c>
      <c r="L24" s="650">
        <v>443445151.47000003</v>
      </c>
      <c r="M24" s="650">
        <v>12202861.27</v>
      </c>
      <c r="N24" s="650">
        <v>14588369.51</v>
      </c>
      <c r="O24" s="650">
        <v>410462592.11000001</v>
      </c>
      <c r="P24" s="650">
        <v>559458527.16999996</v>
      </c>
      <c r="Q24" s="649">
        <v>961038312.21000004</v>
      </c>
      <c r="R24" s="649">
        <v>5757829732.5900002</v>
      </c>
      <c r="T24" s="650"/>
    </row>
    <row r="25" spans="2:38" x14ac:dyDescent="0.3">
      <c r="B25" s="653">
        <v>2</v>
      </c>
      <c r="C25" s="650">
        <v>33761738.329999998</v>
      </c>
      <c r="D25" s="650">
        <v>615881.97</v>
      </c>
      <c r="E25" s="650">
        <v>0</v>
      </c>
      <c r="F25" s="650">
        <v>0</v>
      </c>
      <c r="G25" s="650">
        <v>1049566.3500000001</v>
      </c>
      <c r="H25" s="650">
        <v>3664127.08</v>
      </c>
      <c r="I25" s="650">
        <v>0</v>
      </c>
      <c r="J25" s="649">
        <v>492290.73</v>
      </c>
      <c r="K25" s="650">
        <v>45576580.670000002</v>
      </c>
      <c r="L25" s="650">
        <v>7779196.6900000004</v>
      </c>
      <c r="M25" s="650">
        <v>0</v>
      </c>
      <c r="N25" s="650">
        <v>0</v>
      </c>
      <c r="P25" s="650">
        <v>3325137.54</v>
      </c>
      <c r="Q25" s="649">
        <v>12560634.279999999</v>
      </c>
      <c r="R25" s="649">
        <v>108825153.65000001</v>
      </c>
      <c r="T25" s="650"/>
    </row>
    <row r="26" spans="2:38" x14ac:dyDescent="0.3">
      <c r="B26" s="653">
        <v>3</v>
      </c>
      <c r="C26" s="650">
        <v>523656880.38999999</v>
      </c>
      <c r="D26" s="650">
        <v>752490192.83000004</v>
      </c>
      <c r="E26" s="650">
        <v>2412917014.3899999</v>
      </c>
      <c r="F26" s="650">
        <v>1974452310.3599999</v>
      </c>
      <c r="G26" s="650">
        <v>1150205646.3199999</v>
      </c>
      <c r="H26" s="650">
        <v>2042703750.1300001</v>
      </c>
      <c r="I26" s="650">
        <v>947607050.53999996</v>
      </c>
      <c r="J26" s="649">
        <v>2861085350.3899999</v>
      </c>
      <c r="K26" s="650">
        <v>3695295924.79</v>
      </c>
      <c r="L26" s="650">
        <v>2810379326.6799998</v>
      </c>
      <c r="M26" s="650">
        <v>287503641.70999998</v>
      </c>
      <c r="N26" s="650">
        <v>1842439882.1800001</v>
      </c>
      <c r="O26" s="650">
        <v>9627716729.4899998</v>
      </c>
      <c r="P26" s="650">
        <v>6434273316.6000004</v>
      </c>
      <c r="Q26" s="649">
        <v>1781683088.6800001</v>
      </c>
      <c r="R26" s="649">
        <v>39144410105.489998</v>
      </c>
      <c r="S26" s="649"/>
      <c r="AA26" s="654"/>
      <c r="AB26" s="654"/>
      <c r="AC26" s="654"/>
      <c r="AD26" s="654"/>
      <c r="AE26" s="654"/>
      <c r="AF26" s="654"/>
      <c r="AG26" s="654"/>
      <c r="AH26" s="654"/>
      <c r="AI26" s="654"/>
      <c r="AJ26" s="654"/>
      <c r="AK26" s="650"/>
      <c r="AL26" s="650"/>
    </row>
    <row r="27" spans="2:38" x14ac:dyDescent="0.3">
      <c r="B27" s="653">
        <v>4</v>
      </c>
      <c r="C27" s="650">
        <v>20694254.809999999</v>
      </c>
      <c r="D27" s="650">
        <v>0</v>
      </c>
      <c r="E27" s="650">
        <v>0</v>
      </c>
      <c r="F27" s="650">
        <v>0</v>
      </c>
      <c r="G27" s="650">
        <v>1429423.85</v>
      </c>
      <c r="H27" s="650">
        <v>6499017.79</v>
      </c>
      <c r="I27" s="650">
        <v>0</v>
      </c>
      <c r="J27" s="649">
        <v>3952726.26</v>
      </c>
      <c r="K27" s="650">
        <v>36776060.240000002</v>
      </c>
      <c r="L27" s="650">
        <v>14175569.4</v>
      </c>
      <c r="M27" s="650">
        <v>30038579.300000001</v>
      </c>
      <c r="N27" s="650">
        <v>10229978.810000001</v>
      </c>
      <c r="P27" s="650">
        <v>151509431.19999999</v>
      </c>
      <c r="Q27" s="649">
        <v>6466656.75</v>
      </c>
      <c r="R27" s="649">
        <v>281771698.42000002</v>
      </c>
      <c r="T27" s="650"/>
      <c r="Y27" s="654"/>
      <c r="AA27" s="654"/>
      <c r="AC27" s="654"/>
      <c r="AD27" s="650"/>
      <c r="AE27" s="654"/>
      <c r="AG27" s="654"/>
      <c r="AH27" s="654"/>
      <c r="AK27" s="654"/>
      <c r="AL27" s="650"/>
    </row>
    <row r="28" spans="2:38" x14ac:dyDescent="0.3">
      <c r="B28" s="653">
        <v>5</v>
      </c>
      <c r="C28" s="650">
        <v>1190088874.46</v>
      </c>
      <c r="D28" s="650">
        <v>14526339.130000001</v>
      </c>
      <c r="E28" s="650">
        <v>111272179.12</v>
      </c>
      <c r="F28" s="650">
        <v>39486529.950000003</v>
      </c>
      <c r="G28" s="650">
        <v>12814065.859999999</v>
      </c>
      <c r="H28" s="650">
        <v>37932294.539999999</v>
      </c>
      <c r="I28" s="650">
        <v>103577.25</v>
      </c>
      <c r="J28" s="649">
        <v>125862414.25</v>
      </c>
      <c r="K28" s="650">
        <v>53534980.689999998</v>
      </c>
      <c r="L28" s="650">
        <v>56544386.170000002</v>
      </c>
      <c r="M28" s="650">
        <v>0</v>
      </c>
      <c r="N28" s="650">
        <v>121594.45</v>
      </c>
      <c r="O28" s="650">
        <v>161041742.59</v>
      </c>
      <c r="P28" s="650">
        <v>62861176.719999999</v>
      </c>
      <c r="Q28" s="649">
        <v>160299537.47999999</v>
      </c>
      <c r="R28" s="649">
        <v>2026489692.6500001</v>
      </c>
      <c r="S28" s="649"/>
      <c r="Y28" s="654"/>
      <c r="Z28" s="654"/>
      <c r="AA28" s="654"/>
      <c r="AB28" s="654"/>
      <c r="AC28" s="650"/>
      <c r="AD28" s="650"/>
      <c r="AE28" s="654"/>
      <c r="AF28" s="650"/>
      <c r="AG28" s="650"/>
      <c r="AH28" s="654"/>
      <c r="AI28" s="654"/>
      <c r="AJ28" s="654"/>
      <c r="AK28" s="650"/>
    </row>
    <row r="29" spans="2:38" s="657" customFormat="1" x14ac:dyDescent="0.3">
      <c r="B29" s="653">
        <v>6</v>
      </c>
      <c r="C29" s="650">
        <v>338303698.01999998</v>
      </c>
      <c r="D29" s="650">
        <v>24706344.34</v>
      </c>
      <c r="E29" s="650">
        <v>90640190.569999993</v>
      </c>
      <c r="F29" s="650">
        <v>55575999.829999998</v>
      </c>
      <c r="G29" s="650">
        <v>15985241.789999999</v>
      </c>
      <c r="H29" s="650">
        <v>19620124.859999999</v>
      </c>
      <c r="I29" s="650">
        <v>312475.48</v>
      </c>
      <c r="J29" s="649">
        <v>83321170.140000001</v>
      </c>
      <c r="K29" s="650">
        <v>44482723.710000001</v>
      </c>
      <c r="L29" s="650">
        <v>54439409.259999998</v>
      </c>
      <c r="M29" s="650">
        <v>4854041.87</v>
      </c>
      <c r="N29" s="650">
        <v>13681844.84</v>
      </c>
      <c r="O29" s="650">
        <v>1044578781.26</v>
      </c>
      <c r="P29" s="650">
        <v>219150079.83000001</v>
      </c>
      <c r="Q29" s="649">
        <v>68376209.840000004</v>
      </c>
      <c r="R29" s="649">
        <v>2078028335.6500001</v>
      </c>
      <c r="S29" s="650"/>
      <c r="T29" s="650"/>
      <c r="U29" s="649"/>
      <c r="V29" s="649"/>
      <c r="W29" s="649"/>
      <c r="X29" s="649"/>
      <c r="Y29" s="654"/>
      <c r="Z29" s="654"/>
      <c r="AA29" s="654"/>
      <c r="AB29" s="654"/>
      <c r="AC29" s="654"/>
      <c r="AD29" s="654"/>
      <c r="AE29" s="654"/>
      <c r="AF29" s="654"/>
    </row>
    <row r="30" spans="2:38" s="657" customFormat="1" x14ac:dyDescent="0.3">
      <c r="B30" s="649" t="s">
        <v>491</v>
      </c>
      <c r="C30" s="650">
        <v>2776164027.0599999</v>
      </c>
      <c r="D30" s="650">
        <v>1123288320.47</v>
      </c>
      <c r="E30" s="650">
        <v>2908334868.4699998</v>
      </c>
      <c r="F30" s="650">
        <v>2342649809.8099999</v>
      </c>
      <c r="G30" s="650">
        <v>1396892275.6600001</v>
      </c>
      <c r="H30" s="650">
        <v>2435411690.5999999</v>
      </c>
      <c r="I30" s="650">
        <v>997851051.34000003</v>
      </c>
      <c r="J30" s="649">
        <v>3809864669.5900002</v>
      </c>
      <c r="K30" s="650">
        <v>4339672218.0799999</v>
      </c>
      <c r="L30" s="650">
        <v>3386763039.6700001</v>
      </c>
      <c r="M30" s="650">
        <v>334599124.14999998</v>
      </c>
      <c r="N30" s="650">
        <v>1881061669.79</v>
      </c>
      <c r="O30" s="650">
        <v>11243799845.450001</v>
      </c>
      <c r="P30" s="650">
        <v>7430577669.0699997</v>
      </c>
      <c r="Q30" s="649">
        <v>2990424439.2399998</v>
      </c>
      <c r="R30" s="649">
        <v>49397354718.449997</v>
      </c>
      <c r="S30" s="649"/>
      <c r="T30" s="649"/>
      <c r="U30" s="654"/>
      <c r="V30" s="654"/>
      <c r="W30" s="654"/>
      <c r="X30" s="650"/>
      <c r="Y30" s="649"/>
      <c r="Z30" s="654"/>
      <c r="AA30" s="650"/>
      <c r="AB30" s="654"/>
      <c r="AC30" s="654"/>
      <c r="AD30" s="654"/>
      <c r="AE30" s="654"/>
      <c r="AF30" s="654"/>
    </row>
    <row r="31" spans="2:38" s="657" customFormat="1" x14ac:dyDescent="0.3">
      <c r="B31" s="649"/>
      <c r="C31" s="650"/>
      <c r="D31" s="650"/>
      <c r="E31" s="650"/>
      <c r="F31" s="650"/>
      <c r="G31" s="650"/>
      <c r="H31" s="650"/>
      <c r="I31" s="649"/>
      <c r="J31" s="649"/>
      <c r="K31" s="650"/>
      <c r="L31" s="649"/>
      <c r="M31" s="650"/>
      <c r="N31" s="650"/>
      <c r="O31" s="650"/>
      <c r="U31" s="654"/>
      <c r="V31" s="654"/>
      <c r="W31" s="654"/>
      <c r="X31" s="654"/>
      <c r="Y31" s="654"/>
      <c r="Z31" s="654"/>
      <c r="AA31" s="650"/>
      <c r="AB31" s="650"/>
      <c r="AC31" s="650"/>
      <c r="AD31" s="650"/>
      <c r="AE31" s="654"/>
      <c r="AF31" s="654"/>
    </row>
    <row r="32" spans="2:38" s="657" customFormat="1" x14ac:dyDescent="0.3">
      <c r="B32" s="655" t="s">
        <v>961</v>
      </c>
      <c r="C32" s="650"/>
      <c r="D32" s="650"/>
      <c r="E32" s="650"/>
      <c r="F32" s="650"/>
      <c r="G32" s="650"/>
      <c r="H32" s="650"/>
      <c r="I32" s="649"/>
      <c r="J32" s="649"/>
      <c r="K32" s="650"/>
      <c r="L32" s="649"/>
      <c r="M32" s="650"/>
      <c r="N32" s="650"/>
      <c r="O32" s="650"/>
      <c r="U32" s="654"/>
      <c r="V32" s="654"/>
      <c r="W32" s="654"/>
      <c r="X32" s="654"/>
      <c r="Y32" s="654"/>
      <c r="Z32" s="654"/>
      <c r="AA32" s="650"/>
      <c r="AB32" s="650"/>
      <c r="AC32" s="650"/>
      <c r="AD32" s="650"/>
      <c r="AE32" s="654"/>
      <c r="AF32" s="654"/>
    </row>
    <row r="33" spans="2:32" s="657" customFormat="1" x14ac:dyDescent="0.3">
      <c r="B33" s="649">
        <v>1</v>
      </c>
      <c r="C33" s="650">
        <v>712464702.52999997</v>
      </c>
      <c r="D33" s="650">
        <v>333270344.38999999</v>
      </c>
      <c r="E33" s="650">
        <v>293736337.38999999</v>
      </c>
      <c r="F33" s="650">
        <v>275568083.67000002</v>
      </c>
      <c r="G33" s="650">
        <v>220800359.44</v>
      </c>
      <c r="H33" s="650">
        <v>326947625.50999999</v>
      </c>
      <c r="I33" s="650">
        <v>49827948.079999998</v>
      </c>
      <c r="J33" s="650">
        <v>741985454.96000004</v>
      </c>
      <c r="K33" s="650">
        <v>476086356.57999998</v>
      </c>
      <c r="L33" s="650">
        <v>449160491.94999999</v>
      </c>
      <c r="M33" s="650">
        <v>13366365.439999999</v>
      </c>
      <c r="N33" s="650">
        <v>14861155.550000001</v>
      </c>
      <c r="O33" s="650">
        <v>428950378.23000002</v>
      </c>
      <c r="P33" s="649">
        <v>574523171.22000003</v>
      </c>
      <c r="Q33" s="649">
        <v>995083764.78999996</v>
      </c>
      <c r="R33" s="649">
        <v>5906632539.7200003</v>
      </c>
      <c r="U33" s="654"/>
      <c r="V33" s="654"/>
      <c r="W33" s="654"/>
      <c r="X33" s="654"/>
      <c r="Y33" s="654"/>
      <c r="Z33" s="654"/>
      <c r="AA33" s="650"/>
      <c r="AB33" s="650"/>
      <c r="AC33" s="650"/>
      <c r="AD33" s="650"/>
      <c r="AE33" s="654"/>
      <c r="AF33" s="654"/>
    </row>
    <row r="34" spans="2:32" s="657" customFormat="1" x14ac:dyDescent="0.3">
      <c r="B34" s="649">
        <v>2</v>
      </c>
      <c r="C34" s="650">
        <v>734189247.13999999</v>
      </c>
      <c r="D34" s="650">
        <v>163628282.5</v>
      </c>
      <c r="E34" s="650">
        <v>10276129.98</v>
      </c>
      <c r="F34" s="650">
        <v>114116094.36</v>
      </c>
      <c r="G34" s="650">
        <v>176029711.90000001</v>
      </c>
      <c r="H34" s="650">
        <v>509576103.26999998</v>
      </c>
      <c r="I34" s="650">
        <v>8246638.3099999996</v>
      </c>
      <c r="J34" s="650">
        <v>500382973.85000002</v>
      </c>
      <c r="K34" s="650">
        <v>3143309840.2800002</v>
      </c>
      <c r="L34" s="650">
        <v>989288982.79999995</v>
      </c>
      <c r="M34" s="650">
        <v>13967739.5</v>
      </c>
      <c r="N34" s="650">
        <v>99844.05</v>
      </c>
      <c r="O34" s="650"/>
      <c r="P34" s="649">
        <v>480397257.73000002</v>
      </c>
      <c r="Q34" s="649">
        <v>1224472299.46</v>
      </c>
      <c r="R34" s="649">
        <v>8067981145.1300001</v>
      </c>
      <c r="U34" s="654"/>
      <c r="V34" s="654"/>
      <c r="W34" s="654"/>
      <c r="X34" s="654"/>
      <c r="Y34" s="654"/>
      <c r="Z34" s="654"/>
      <c r="AA34" s="650"/>
      <c r="AB34" s="650"/>
      <c r="AC34" s="650"/>
      <c r="AD34" s="650"/>
      <c r="AE34" s="654"/>
      <c r="AF34" s="654"/>
    </row>
    <row r="35" spans="2:32" s="657" customFormat="1" x14ac:dyDescent="0.3">
      <c r="B35" s="649">
        <v>3</v>
      </c>
      <c r="C35" s="650">
        <v>542275029.24000001</v>
      </c>
      <c r="D35" s="650">
        <v>774486948.20000005</v>
      </c>
      <c r="E35" s="650">
        <v>2415810556.4099998</v>
      </c>
      <c r="F35" s="650">
        <v>2000416610.8599999</v>
      </c>
      <c r="G35" s="650">
        <v>1161547242.3599999</v>
      </c>
      <c r="H35" s="650">
        <v>2090699722.29</v>
      </c>
      <c r="I35" s="650">
        <v>950290604.09000003</v>
      </c>
      <c r="J35" s="650">
        <v>3070848573.0999999</v>
      </c>
      <c r="K35" s="650">
        <v>3755326158.21</v>
      </c>
      <c r="L35" s="650">
        <v>2869770658.4699998</v>
      </c>
      <c r="M35" s="650">
        <v>330891306.07999998</v>
      </c>
      <c r="N35" s="650">
        <v>1899405096.79</v>
      </c>
      <c r="O35" s="650">
        <v>10183040103.559999</v>
      </c>
      <c r="P35" s="649">
        <v>6560898346.8599997</v>
      </c>
      <c r="Q35" s="649">
        <v>1957041546.4200001</v>
      </c>
      <c r="R35" s="649">
        <v>40562748502.940002</v>
      </c>
      <c r="U35" s="654"/>
      <c r="V35" s="654"/>
      <c r="W35" s="654"/>
      <c r="X35" s="654"/>
      <c r="Y35" s="654"/>
      <c r="Z35" s="654"/>
      <c r="AA35" s="650"/>
      <c r="AB35" s="650"/>
      <c r="AC35" s="650"/>
      <c r="AD35" s="650"/>
      <c r="AE35" s="654"/>
      <c r="AF35" s="654"/>
    </row>
    <row r="36" spans="2:32" s="657" customFormat="1" x14ac:dyDescent="0.3">
      <c r="B36" s="649">
        <v>4</v>
      </c>
      <c r="C36" s="650">
        <v>447274199.72000003</v>
      </c>
      <c r="D36" s="650">
        <v>42957745.340000004</v>
      </c>
      <c r="E36" s="650">
        <v>23219896.5</v>
      </c>
      <c r="F36" s="650">
        <v>197651695.72999999</v>
      </c>
      <c r="G36" s="650">
        <v>400410266.27999997</v>
      </c>
      <c r="H36" s="650">
        <v>703343841.11000001</v>
      </c>
      <c r="I36" s="650">
        <v>214710876.52000001</v>
      </c>
      <c r="J36" s="650">
        <v>1330072479.53</v>
      </c>
      <c r="K36" s="650">
        <v>4236796923.5900002</v>
      </c>
      <c r="L36" s="650">
        <v>2006862145.77</v>
      </c>
      <c r="M36" s="650">
        <v>162058018.58000001</v>
      </c>
      <c r="N36" s="650">
        <v>252414294.68000001</v>
      </c>
      <c r="O36" s="650"/>
      <c r="P36" s="649">
        <v>4486439980.1199999</v>
      </c>
      <c r="Q36" s="649">
        <v>1436660171.24</v>
      </c>
      <c r="R36" s="649">
        <v>15940872534.709999</v>
      </c>
      <c r="U36" s="654"/>
      <c r="V36" s="654"/>
      <c r="W36" s="654"/>
      <c r="X36" s="654"/>
      <c r="Y36" s="654"/>
      <c r="Z36" s="654"/>
      <c r="AA36" s="650"/>
      <c r="AB36" s="650"/>
      <c r="AC36" s="650"/>
      <c r="AD36" s="650"/>
      <c r="AE36" s="654"/>
      <c r="AF36" s="654"/>
    </row>
    <row r="37" spans="2:32" s="657" customFormat="1" x14ac:dyDescent="0.3">
      <c r="B37" s="649">
        <v>5</v>
      </c>
      <c r="C37" s="650">
        <v>4908102100</v>
      </c>
      <c r="D37" s="650">
        <v>61527914.259999998</v>
      </c>
      <c r="E37" s="650">
        <v>133054902.33</v>
      </c>
      <c r="F37" s="650">
        <v>62245611.439999998</v>
      </c>
      <c r="G37" s="650">
        <v>78995437.640000001</v>
      </c>
      <c r="H37" s="650">
        <v>117850874.90000001</v>
      </c>
      <c r="I37" s="650">
        <v>3681059.98</v>
      </c>
      <c r="J37" s="650">
        <v>196885069.40000001</v>
      </c>
      <c r="K37" s="650">
        <v>559549278.97000003</v>
      </c>
      <c r="L37" s="650">
        <v>156637233.90000001</v>
      </c>
      <c r="M37" s="650">
        <v>2740479.06</v>
      </c>
      <c r="N37" s="650">
        <v>121594.45</v>
      </c>
      <c r="O37" s="650">
        <v>193275579.13</v>
      </c>
      <c r="P37" s="649">
        <v>85529794.090000004</v>
      </c>
      <c r="Q37" s="649">
        <v>322717953.19</v>
      </c>
      <c r="R37" s="649">
        <v>6882914882.7399998</v>
      </c>
      <c r="U37" s="654"/>
      <c r="V37" s="654"/>
      <c r="W37" s="654"/>
      <c r="X37" s="654"/>
      <c r="Y37" s="654"/>
      <c r="Z37" s="654"/>
      <c r="AA37" s="650"/>
      <c r="AB37" s="650"/>
      <c r="AC37" s="650"/>
      <c r="AD37" s="650"/>
      <c r="AE37" s="654"/>
      <c r="AF37" s="654"/>
    </row>
    <row r="38" spans="2:32" s="657" customFormat="1" x14ac:dyDescent="0.3">
      <c r="B38" s="649">
        <v>6</v>
      </c>
      <c r="C38" s="650">
        <v>919824981.77999997</v>
      </c>
      <c r="D38" s="650">
        <v>48727594.369999997</v>
      </c>
      <c r="E38" s="650">
        <v>93965509.200000003</v>
      </c>
      <c r="F38" s="650">
        <v>87719602.909999996</v>
      </c>
      <c r="G38" s="650">
        <v>26760257.760000002</v>
      </c>
      <c r="H38" s="650">
        <v>37744232.030000001</v>
      </c>
      <c r="I38" s="650">
        <v>590057.62</v>
      </c>
      <c r="J38" s="650">
        <v>101525711.36</v>
      </c>
      <c r="K38" s="650">
        <v>299134865.44999999</v>
      </c>
      <c r="L38" s="650">
        <v>188547523.69999999</v>
      </c>
      <c r="M38" s="650">
        <v>7800908.5499999998</v>
      </c>
      <c r="N38" s="650">
        <v>17059346.379999999</v>
      </c>
      <c r="O38" s="650">
        <v>1112015256.8399999</v>
      </c>
      <c r="P38" s="649">
        <v>251291122.74000001</v>
      </c>
      <c r="Q38" s="649">
        <v>124375094.11</v>
      </c>
      <c r="R38" s="649">
        <v>3317082064.79</v>
      </c>
      <c r="U38" s="654"/>
      <c r="V38" s="654"/>
      <c r="W38" s="654"/>
      <c r="X38" s="654"/>
      <c r="Y38" s="654"/>
      <c r="Z38" s="654"/>
      <c r="AA38" s="650"/>
      <c r="AB38" s="650"/>
      <c r="AC38" s="650"/>
      <c r="AD38" s="650"/>
      <c r="AE38" s="654"/>
      <c r="AF38" s="654"/>
    </row>
    <row r="39" spans="2:32" s="657" customFormat="1" x14ac:dyDescent="0.3">
      <c r="B39" s="649" t="s">
        <v>491</v>
      </c>
      <c r="C39" s="650">
        <v>8264130260.4300003</v>
      </c>
      <c r="D39" s="650">
        <v>1424598829.05</v>
      </c>
      <c r="E39" s="650">
        <v>2970063331.8099999</v>
      </c>
      <c r="F39" s="650">
        <v>2737717698.9699998</v>
      </c>
      <c r="G39" s="650">
        <v>2064543275.3800001</v>
      </c>
      <c r="H39" s="650">
        <v>3786162399.1100001</v>
      </c>
      <c r="I39" s="649">
        <v>1227347184.5999999</v>
      </c>
      <c r="J39" s="650">
        <v>5941700262.1999998</v>
      </c>
      <c r="K39" s="650">
        <v>12470203423.07</v>
      </c>
      <c r="L39" s="650">
        <v>6660267036.6000004</v>
      </c>
      <c r="M39" s="650">
        <v>530824817.20999998</v>
      </c>
      <c r="N39" s="650">
        <v>2183961331.9000001</v>
      </c>
      <c r="O39" s="650">
        <v>11917281317.76</v>
      </c>
      <c r="P39" s="649">
        <v>12439079672.76</v>
      </c>
      <c r="Q39" s="649">
        <v>6060350829.2200003</v>
      </c>
      <c r="R39" s="649">
        <v>80678231670.039993</v>
      </c>
      <c r="U39" s="654"/>
      <c r="V39" s="654"/>
      <c r="W39" s="654"/>
      <c r="X39" s="654"/>
      <c r="Y39" s="654"/>
      <c r="Z39" s="654"/>
      <c r="AA39" s="650"/>
      <c r="AB39" s="650"/>
      <c r="AC39" s="650"/>
      <c r="AD39" s="650"/>
      <c r="AE39" s="654"/>
      <c r="AF39" s="654"/>
    </row>
    <row r="40" spans="2:32" s="657" customFormat="1" x14ac:dyDescent="0.3">
      <c r="B40" s="649"/>
      <c r="C40" s="650"/>
      <c r="D40" s="650"/>
      <c r="E40" s="650"/>
      <c r="F40" s="650"/>
      <c r="G40" s="650"/>
      <c r="H40" s="650"/>
      <c r="I40" s="649"/>
      <c r="J40" s="650"/>
      <c r="K40" s="650"/>
      <c r="L40" s="650"/>
      <c r="M40" s="650"/>
      <c r="N40" s="650"/>
      <c r="O40" s="650"/>
      <c r="P40" s="649"/>
      <c r="Q40" s="649"/>
      <c r="R40" s="649"/>
      <c r="U40" s="654"/>
      <c r="V40" s="654"/>
      <c r="W40" s="654"/>
      <c r="X40" s="654"/>
      <c r="Y40" s="654"/>
      <c r="Z40" s="654"/>
      <c r="AA40" s="650"/>
      <c r="AB40" s="650"/>
      <c r="AC40" s="650"/>
      <c r="AD40" s="650"/>
      <c r="AE40" s="654"/>
      <c r="AF40" s="654"/>
    </row>
    <row r="41" spans="2:32" s="657" customFormat="1" x14ac:dyDescent="0.3">
      <c r="B41" s="655" t="s">
        <v>970</v>
      </c>
      <c r="C41" s="650"/>
      <c r="D41" s="650"/>
      <c r="E41" s="650"/>
      <c r="F41" s="650"/>
      <c r="G41" s="650"/>
      <c r="H41" s="650"/>
      <c r="I41" s="649"/>
      <c r="J41" s="649"/>
      <c r="K41" s="650"/>
      <c r="L41" s="649"/>
      <c r="M41" s="650"/>
      <c r="N41" s="650"/>
      <c r="O41" s="650"/>
      <c r="U41" s="654"/>
      <c r="V41" s="654"/>
      <c r="W41" s="654"/>
      <c r="X41" s="654"/>
      <c r="Y41" s="654"/>
      <c r="Z41" s="654"/>
      <c r="AA41" s="650"/>
      <c r="AB41" s="650"/>
      <c r="AC41" s="650"/>
      <c r="AD41" s="650"/>
      <c r="AE41" s="654"/>
      <c r="AF41" s="654"/>
    </row>
    <row r="42" spans="2:32" s="657" customFormat="1" x14ac:dyDescent="0.3">
      <c r="B42" s="649">
        <v>1</v>
      </c>
      <c r="C42" s="650">
        <f>+C33-C24</f>
        <v>42806121.480000019</v>
      </c>
      <c r="D42" s="650">
        <f t="shared" ref="D42:R42" si="2">+D33-D24</f>
        <v>2320782.1899999976</v>
      </c>
      <c r="E42" s="650">
        <f t="shared" si="2"/>
        <v>230852.99000000954</v>
      </c>
      <c r="F42" s="650">
        <f t="shared" si="2"/>
        <v>2433114</v>
      </c>
      <c r="G42" s="650">
        <f t="shared" si="2"/>
        <v>5392027.9600000083</v>
      </c>
      <c r="H42" s="650">
        <f t="shared" si="2"/>
        <v>1955249.3100000024</v>
      </c>
      <c r="I42" s="650">
        <f t="shared" si="2"/>
        <v>0</v>
      </c>
      <c r="J42" s="650">
        <f t="shared" si="2"/>
        <v>6834737.1399999857</v>
      </c>
      <c r="K42" s="650">
        <f t="shared" si="2"/>
        <v>12080408.599999964</v>
      </c>
      <c r="L42" s="650">
        <f t="shared" si="2"/>
        <v>5715340.4799999595</v>
      </c>
      <c r="M42" s="650">
        <f t="shared" si="2"/>
        <v>1163504.17</v>
      </c>
      <c r="N42" s="650">
        <f t="shared" si="2"/>
        <v>272786.04000000097</v>
      </c>
      <c r="O42" s="650">
        <f t="shared" si="2"/>
        <v>18487786.120000005</v>
      </c>
      <c r="P42" s="650">
        <f t="shared" si="2"/>
        <v>15064644.050000072</v>
      </c>
      <c r="Q42" s="650">
        <f t="shared" si="2"/>
        <v>34045452.579999924</v>
      </c>
      <c r="R42" s="650">
        <f t="shared" si="2"/>
        <v>148802807.13000011</v>
      </c>
      <c r="U42" s="654"/>
      <c r="V42" s="654"/>
      <c r="W42" s="654"/>
      <c r="X42" s="654"/>
      <c r="Y42" s="654"/>
      <c r="Z42" s="654"/>
      <c r="AA42" s="650"/>
      <c r="AB42" s="650"/>
      <c r="AC42" s="650"/>
      <c r="AD42" s="650"/>
      <c r="AE42" s="654"/>
      <c r="AF42" s="654"/>
    </row>
    <row r="43" spans="2:32" s="657" customFormat="1" x14ac:dyDescent="0.3">
      <c r="B43" s="649">
        <v>2</v>
      </c>
      <c r="C43" s="650">
        <f t="shared" ref="C43:R43" si="3">+C34-C25</f>
        <v>700427508.80999994</v>
      </c>
      <c r="D43" s="650">
        <f t="shared" si="3"/>
        <v>163012400.53</v>
      </c>
      <c r="E43" s="650">
        <f t="shared" si="3"/>
        <v>10276129.98</v>
      </c>
      <c r="F43" s="650">
        <f t="shared" si="3"/>
        <v>114116094.36</v>
      </c>
      <c r="G43" s="650">
        <f t="shared" si="3"/>
        <v>174980145.55000001</v>
      </c>
      <c r="H43" s="650">
        <f t="shared" si="3"/>
        <v>505911976.19</v>
      </c>
      <c r="I43" s="650">
        <f t="shared" si="3"/>
        <v>8246638.3099999996</v>
      </c>
      <c r="J43" s="650">
        <f t="shared" si="3"/>
        <v>499890683.12</v>
      </c>
      <c r="K43" s="650">
        <f t="shared" si="3"/>
        <v>3097733259.6100001</v>
      </c>
      <c r="L43" s="650">
        <f t="shared" si="3"/>
        <v>981509786.1099999</v>
      </c>
      <c r="M43" s="650">
        <f t="shared" si="3"/>
        <v>13967739.5</v>
      </c>
      <c r="N43" s="650">
        <f t="shared" si="3"/>
        <v>99844.05</v>
      </c>
      <c r="O43" s="650">
        <f t="shared" si="3"/>
        <v>0</v>
      </c>
      <c r="P43" s="650">
        <f t="shared" si="3"/>
        <v>477072120.19</v>
      </c>
      <c r="Q43" s="650">
        <f t="shared" si="3"/>
        <v>1211911665.1800001</v>
      </c>
      <c r="R43" s="650">
        <f t="shared" si="3"/>
        <v>7959155991.4800005</v>
      </c>
      <c r="U43" s="654"/>
      <c r="V43" s="654"/>
      <c r="W43" s="654"/>
      <c r="X43" s="654"/>
      <c r="Y43" s="654"/>
      <c r="Z43" s="654"/>
      <c r="AA43" s="650"/>
      <c r="AB43" s="650"/>
      <c r="AC43" s="650"/>
      <c r="AD43" s="650"/>
      <c r="AE43" s="654"/>
      <c r="AF43" s="654"/>
    </row>
    <row r="44" spans="2:32" s="657" customFormat="1" x14ac:dyDescent="0.3">
      <c r="B44" s="649">
        <v>3</v>
      </c>
      <c r="C44" s="650">
        <f t="shared" ref="C44:R44" si="4">+C35-C26</f>
        <v>18618148.850000024</v>
      </c>
      <c r="D44" s="650">
        <f t="shared" si="4"/>
        <v>21996755.370000005</v>
      </c>
      <c r="E44" s="650">
        <f t="shared" si="4"/>
        <v>2893542.0199999809</v>
      </c>
      <c r="F44" s="650">
        <f t="shared" si="4"/>
        <v>25964300.5</v>
      </c>
      <c r="G44" s="650">
        <f t="shared" si="4"/>
        <v>11341596.039999962</v>
      </c>
      <c r="H44" s="650">
        <f t="shared" si="4"/>
        <v>47995972.159999847</v>
      </c>
      <c r="I44" s="650">
        <f t="shared" si="4"/>
        <v>2683553.5500000715</v>
      </c>
      <c r="J44" s="650">
        <f t="shared" si="4"/>
        <v>209763222.71000004</v>
      </c>
      <c r="K44" s="650">
        <f t="shared" si="4"/>
        <v>60030233.420000076</v>
      </c>
      <c r="L44" s="650">
        <f t="shared" si="4"/>
        <v>59391331.789999962</v>
      </c>
      <c r="M44" s="650">
        <f t="shared" si="4"/>
        <v>43387664.370000005</v>
      </c>
      <c r="N44" s="650">
        <f t="shared" si="4"/>
        <v>56965214.609999895</v>
      </c>
      <c r="O44" s="650">
        <f t="shared" si="4"/>
        <v>555323374.06999969</v>
      </c>
      <c r="P44" s="650">
        <f t="shared" si="4"/>
        <v>126625030.25999928</v>
      </c>
      <c r="Q44" s="650">
        <f t="shared" si="4"/>
        <v>175358457.74000001</v>
      </c>
      <c r="R44" s="650">
        <f t="shared" si="4"/>
        <v>1418338397.4500046</v>
      </c>
      <c r="U44" s="654"/>
      <c r="V44" s="654"/>
      <c r="W44" s="654"/>
      <c r="X44" s="654"/>
      <c r="Y44" s="654"/>
      <c r="Z44" s="654"/>
      <c r="AA44" s="650"/>
      <c r="AB44" s="650"/>
      <c r="AC44" s="650"/>
      <c r="AD44" s="650"/>
      <c r="AE44" s="654"/>
      <c r="AF44" s="654"/>
    </row>
    <row r="45" spans="2:32" s="657" customFormat="1" x14ac:dyDescent="0.3">
      <c r="B45" s="649">
        <v>4</v>
      </c>
      <c r="C45" s="650">
        <f t="shared" ref="C45:R45" si="5">+C36-C27</f>
        <v>426579944.91000003</v>
      </c>
      <c r="D45" s="650">
        <f t="shared" si="5"/>
        <v>42957745.340000004</v>
      </c>
      <c r="E45" s="650">
        <f t="shared" si="5"/>
        <v>23219896.5</v>
      </c>
      <c r="F45" s="650">
        <f t="shared" si="5"/>
        <v>197651695.72999999</v>
      </c>
      <c r="G45" s="650">
        <f t="shared" si="5"/>
        <v>398980842.42999995</v>
      </c>
      <c r="H45" s="650">
        <f t="shared" si="5"/>
        <v>696844823.32000005</v>
      </c>
      <c r="I45" s="650">
        <f t="shared" si="5"/>
        <v>214710876.52000001</v>
      </c>
      <c r="J45" s="650">
        <f t="shared" si="5"/>
        <v>1326119753.27</v>
      </c>
      <c r="K45" s="650">
        <f t="shared" si="5"/>
        <v>4200020863.3500004</v>
      </c>
      <c r="L45" s="650">
        <f t="shared" si="5"/>
        <v>1992686576.3699999</v>
      </c>
      <c r="M45" s="650">
        <f t="shared" si="5"/>
        <v>132019439.28000002</v>
      </c>
      <c r="N45" s="650">
        <f t="shared" si="5"/>
        <v>242184315.87</v>
      </c>
      <c r="O45" s="650">
        <f t="shared" si="5"/>
        <v>0</v>
      </c>
      <c r="P45" s="650">
        <f t="shared" si="5"/>
        <v>4334930548.9200001</v>
      </c>
      <c r="Q45" s="650">
        <f t="shared" si="5"/>
        <v>1430193514.49</v>
      </c>
      <c r="R45" s="650">
        <f t="shared" si="5"/>
        <v>15659100836.289999</v>
      </c>
      <c r="U45" s="654"/>
      <c r="V45" s="654"/>
      <c r="W45" s="654"/>
      <c r="X45" s="654"/>
      <c r="Y45" s="654"/>
      <c r="Z45" s="654"/>
      <c r="AA45" s="650"/>
      <c r="AB45" s="650"/>
      <c r="AC45" s="650"/>
      <c r="AD45" s="650"/>
      <c r="AE45" s="654"/>
      <c r="AF45" s="654"/>
    </row>
    <row r="46" spans="2:32" s="657" customFormat="1" x14ac:dyDescent="0.3">
      <c r="B46" s="649">
        <v>5</v>
      </c>
      <c r="C46" s="650">
        <f t="shared" ref="C46:R46" si="6">+C37-C28</f>
        <v>3718013225.54</v>
      </c>
      <c r="D46" s="650">
        <f t="shared" si="6"/>
        <v>47001575.129999995</v>
      </c>
      <c r="E46" s="650">
        <f t="shared" si="6"/>
        <v>21782723.209999993</v>
      </c>
      <c r="F46" s="650">
        <f t="shared" si="6"/>
        <v>22759081.489999995</v>
      </c>
      <c r="G46" s="650">
        <f t="shared" si="6"/>
        <v>66181371.780000001</v>
      </c>
      <c r="H46" s="650">
        <f t="shared" si="6"/>
        <v>79918580.360000014</v>
      </c>
      <c r="I46" s="650">
        <f t="shared" si="6"/>
        <v>3577482.73</v>
      </c>
      <c r="J46" s="650">
        <f t="shared" si="6"/>
        <v>71022655.150000006</v>
      </c>
      <c r="K46" s="650">
        <f t="shared" si="6"/>
        <v>506014298.28000003</v>
      </c>
      <c r="L46" s="650">
        <f t="shared" si="6"/>
        <v>100092847.73</v>
      </c>
      <c r="M46" s="650">
        <f t="shared" si="6"/>
        <v>2740479.06</v>
      </c>
      <c r="N46" s="650">
        <f t="shared" si="6"/>
        <v>0</v>
      </c>
      <c r="O46" s="650">
        <f t="shared" si="6"/>
        <v>32233836.539999992</v>
      </c>
      <c r="P46" s="650">
        <f t="shared" si="6"/>
        <v>22668617.370000005</v>
      </c>
      <c r="Q46" s="650">
        <f t="shared" si="6"/>
        <v>162418415.71000001</v>
      </c>
      <c r="R46" s="650">
        <f t="shared" si="6"/>
        <v>4856425190.0900002</v>
      </c>
      <c r="U46" s="654"/>
      <c r="V46" s="654"/>
      <c r="W46" s="654"/>
      <c r="X46" s="654"/>
      <c r="Y46" s="654"/>
      <c r="Z46" s="654"/>
      <c r="AA46" s="650"/>
      <c r="AB46" s="650"/>
      <c r="AC46" s="650"/>
      <c r="AD46" s="650"/>
      <c r="AE46" s="654"/>
      <c r="AF46" s="654"/>
    </row>
    <row r="47" spans="2:32" s="657" customFormat="1" x14ac:dyDescent="0.3">
      <c r="B47" s="649">
        <v>6</v>
      </c>
      <c r="C47" s="650">
        <f t="shared" ref="C47:R47" si="7">+C38-C29</f>
        <v>581521283.75999999</v>
      </c>
      <c r="D47" s="650">
        <f t="shared" si="7"/>
        <v>24021250.029999997</v>
      </c>
      <c r="E47" s="650">
        <f t="shared" si="7"/>
        <v>3325318.6300000101</v>
      </c>
      <c r="F47" s="650">
        <f t="shared" si="7"/>
        <v>32143603.079999998</v>
      </c>
      <c r="G47" s="650">
        <f t="shared" si="7"/>
        <v>10775015.970000003</v>
      </c>
      <c r="H47" s="650">
        <f t="shared" si="7"/>
        <v>18124107.170000002</v>
      </c>
      <c r="I47" s="650">
        <f t="shared" si="7"/>
        <v>277582.14</v>
      </c>
      <c r="J47" s="650">
        <f t="shared" si="7"/>
        <v>18204541.219999999</v>
      </c>
      <c r="K47" s="650">
        <f t="shared" si="7"/>
        <v>254652141.73999998</v>
      </c>
      <c r="L47" s="650">
        <f t="shared" si="7"/>
        <v>134108114.44</v>
      </c>
      <c r="M47" s="650">
        <f t="shared" si="7"/>
        <v>2946866.6799999997</v>
      </c>
      <c r="N47" s="650">
        <f t="shared" si="7"/>
        <v>3377501.5399999991</v>
      </c>
      <c r="O47" s="650">
        <f t="shared" si="7"/>
        <v>67436475.579999924</v>
      </c>
      <c r="P47" s="650">
        <f t="shared" si="7"/>
        <v>32141042.909999996</v>
      </c>
      <c r="Q47" s="650">
        <f t="shared" si="7"/>
        <v>55998884.269999996</v>
      </c>
      <c r="R47" s="650">
        <f t="shared" si="7"/>
        <v>1239053729.1399999</v>
      </c>
      <c r="U47" s="654"/>
      <c r="V47" s="654"/>
      <c r="W47" s="654"/>
      <c r="X47" s="654"/>
      <c r="Y47" s="654"/>
      <c r="Z47" s="654"/>
      <c r="AA47" s="650"/>
      <c r="AB47" s="650"/>
      <c r="AC47" s="650"/>
      <c r="AD47" s="650"/>
      <c r="AE47" s="654"/>
      <c r="AF47" s="654"/>
    </row>
    <row r="48" spans="2:32" s="657" customFormat="1" x14ac:dyDescent="0.3">
      <c r="B48" s="649" t="s">
        <v>491</v>
      </c>
      <c r="C48" s="650">
        <f t="shared" ref="C48:R48" si="8">+C39-C30</f>
        <v>5487966233.3700008</v>
      </c>
      <c r="D48" s="650">
        <f t="shared" si="8"/>
        <v>301310508.57999992</v>
      </c>
      <c r="E48" s="650">
        <f t="shared" si="8"/>
        <v>61728463.340000153</v>
      </c>
      <c r="F48" s="650">
        <f t="shared" si="8"/>
        <v>395067889.15999985</v>
      </c>
      <c r="G48" s="650">
        <f t="shared" si="8"/>
        <v>667650999.72000003</v>
      </c>
      <c r="H48" s="650">
        <f t="shared" si="8"/>
        <v>1350750708.5100002</v>
      </c>
      <c r="I48" s="650">
        <f t="shared" si="8"/>
        <v>229496133.25999987</v>
      </c>
      <c r="J48" s="650">
        <f t="shared" si="8"/>
        <v>2131835592.6099997</v>
      </c>
      <c r="K48" s="650">
        <f t="shared" si="8"/>
        <v>8130531204.9899998</v>
      </c>
      <c r="L48" s="650">
        <f t="shared" si="8"/>
        <v>3273503996.9300003</v>
      </c>
      <c r="M48" s="650">
        <f t="shared" si="8"/>
        <v>196225693.06</v>
      </c>
      <c r="N48" s="650">
        <f t="shared" si="8"/>
        <v>302899662.11000013</v>
      </c>
      <c r="O48" s="650">
        <f t="shared" si="8"/>
        <v>673481472.30999947</v>
      </c>
      <c r="P48" s="650">
        <f t="shared" si="8"/>
        <v>5008502003.6900005</v>
      </c>
      <c r="Q48" s="650">
        <f t="shared" si="8"/>
        <v>3069926389.9800005</v>
      </c>
      <c r="R48" s="650">
        <f t="shared" si="8"/>
        <v>31280876951.589996</v>
      </c>
      <c r="U48" s="654"/>
      <c r="V48" s="654"/>
      <c r="W48" s="654"/>
      <c r="X48" s="654"/>
      <c r="Y48" s="654"/>
      <c r="Z48" s="654"/>
      <c r="AA48" s="650"/>
      <c r="AB48" s="650"/>
      <c r="AC48" s="650"/>
      <c r="AD48" s="650"/>
      <c r="AE48" s="654"/>
      <c r="AF48" s="654"/>
    </row>
    <row r="49" spans="1:42" s="657" customFormat="1" x14ac:dyDescent="0.3">
      <c r="B49" s="649"/>
      <c r="C49" s="650"/>
      <c r="D49" s="650"/>
      <c r="E49" s="650"/>
      <c r="F49" s="650"/>
      <c r="G49" s="650"/>
      <c r="H49" s="650"/>
      <c r="I49" s="649"/>
      <c r="J49" s="649"/>
      <c r="K49" s="650"/>
      <c r="L49" s="649"/>
      <c r="M49" s="650"/>
      <c r="N49" s="650"/>
      <c r="O49" s="650"/>
      <c r="U49" s="654"/>
      <c r="V49" s="654"/>
      <c r="W49" s="654"/>
      <c r="X49" s="654"/>
      <c r="Y49" s="654"/>
      <c r="Z49" s="654"/>
      <c r="AA49" s="650"/>
      <c r="AB49" s="650"/>
      <c r="AC49" s="650"/>
      <c r="AD49" s="650"/>
      <c r="AE49" s="654"/>
      <c r="AF49" s="654"/>
    </row>
    <row r="50" spans="1:42" s="657" customFormat="1" x14ac:dyDescent="0.3">
      <c r="B50" s="649"/>
      <c r="C50" s="650"/>
      <c r="D50" s="650"/>
      <c r="E50" s="650"/>
      <c r="F50" s="650"/>
      <c r="G50" s="650"/>
      <c r="H50" s="650"/>
      <c r="I50" s="649"/>
      <c r="J50" s="649"/>
      <c r="K50" s="650"/>
      <c r="L50" s="649"/>
      <c r="M50" s="650"/>
      <c r="N50" s="650"/>
      <c r="O50" s="650"/>
      <c r="U50" s="654"/>
      <c r="V50" s="654"/>
      <c r="W50" s="654"/>
      <c r="X50" s="654"/>
      <c r="Y50" s="654"/>
      <c r="Z50" s="654"/>
      <c r="AA50" s="650"/>
      <c r="AB50" s="650"/>
      <c r="AC50" s="650"/>
      <c r="AD50" s="650"/>
      <c r="AE50" s="654"/>
      <c r="AF50" s="654"/>
    </row>
    <row r="51" spans="1:42" s="657" customFormat="1" x14ac:dyDescent="0.3">
      <c r="B51" s="650" t="s">
        <v>950</v>
      </c>
      <c r="D51" s="650"/>
      <c r="E51" s="650"/>
      <c r="F51" s="650"/>
      <c r="G51" s="650"/>
      <c r="H51" s="650"/>
      <c r="I51" s="649"/>
      <c r="J51" s="649"/>
      <c r="K51" s="650"/>
      <c r="L51" s="649"/>
      <c r="M51" s="649"/>
      <c r="N51" s="649"/>
      <c r="O51" s="649"/>
      <c r="P51" s="649"/>
      <c r="Q51" s="650"/>
      <c r="R51" s="650"/>
      <c r="S51" s="650"/>
      <c r="U51" s="654"/>
      <c r="V51" s="650"/>
      <c r="W51" s="654"/>
      <c r="X51" s="654"/>
      <c r="Y51" s="654"/>
      <c r="Z51" s="654"/>
      <c r="AA51" s="654"/>
      <c r="AB51" s="654"/>
      <c r="AC51" s="654"/>
      <c r="AD51" s="654"/>
      <c r="AE51" s="654"/>
      <c r="AF51" s="650"/>
      <c r="AG51" s="654"/>
      <c r="AH51" s="654"/>
      <c r="AI51" s="654"/>
      <c r="AJ51" s="654"/>
    </row>
    <row r="52" spans="1:42" s="657" customFormat="1" x14ac:dyDescent="0.3">
      <c r="B52" s="650" t="s">
        <v>682</v>
      </c>
      <c r="C52" s="657">
        <f t="shared" ref="C52:C57" si="9">+R15</f>
        <v>1206558</v>
      </c>
      <c r="D52" s="650"/>
      <c r="E52" s="650"/>
      <c r="F52" s="650"/>
      <c r="G52" s="650"/>
      <c r="H52" s="650"/>
      <c r="I52" s="649"/>
      <c r="J52" s="650"/>
      <c r="K52" s="649"/>
      <c r="L52" s="649"/>
      <c r="M52" s="649"/>
      <c r="N52" s="649"/>
      <c r="O52" s="649"/>
      <c r="P52" s="650"/>
      <c r="Q52" s="650"/>
      <c r="S52" s="654"/>
      <c r="V52" s="654"/>
      <c r="W52" s="654"/>
      <c r="X52" s="654"/>
      <c r="Y52" s="654"/>
      <c r="Z52" s="654"/>
      <c r="AA52" s="650"/>
      <c r="AB52" s="654"/>
      <c r="AC52" s="654"/>
      <c r="AD52" s="654"/>
      <c r="AE52" s="654"/>
      <c r="AF52" s="649"/>
      <c r="AG52" s="654"/>
      <c r="AH52" s="654"/>
      <c r="AI52" s="654"/>
      <c r="AJ52" s="654"/>
    </row>
    <row r="53" spans="1:42" s="657" customFormat="1" x14ac:dyDescent="0.3">
      <c r="B53" s="650" t="s">
        <v>683</v>
      </c>
      <c r="C53" s="657">
        <f t="shared" si="9"/>
        <v>1447937</v>
      </c>
      <c r="D53" s="650"/>
      <c r="E53" s="650"/>
      <c r="F53" s="650"/>
      <c r="G53" s="650"/>
      <c r="H53" s="650"/>
      <c r="I53" s="649"/>
      <c r="J53" s="650"/>
      <c r="K53" s="649"/>
      <c r="L53" s="649"/>
      <c r="M53" s="649"/>
      <c r="N53" s="649"/>
      <c r="O53" s="649"/>
      <c r="P53" s="650"/>
      <c r="Q53" s="650"/>
      <c r="S53" s="654"/>
      <c r="V53" s="654"/>
      <c r="W53" s="654"/>
      <c r="X53" s="654"/>
      <c r="Y53" s="654"/>
      <c r="Z53" s="654"/>
      <c r="AA53" s="654"/>
      <c r="AB53" s="654"/>
      <c r="AC53" s="650"/>
      <c r="AD53" s="654"/>
      <c r="AE53" s="654"/>
      <c r="AF53" s="654"/>
      <c r="AG53" s="654"/>
      <c r="AH53" s="654"/>
      <c r="AI53" s="654"/>
      <c r="AJ53" s="650"/>
    </row>
    <row r="54" spans="1:42" s="657" customFormat="1" x14ac:dyDescent="0.3">
      <c r="B54" s="650" t="s">
        <v>684</v>
      </c>
      <c r="C54" s="657">
        <f t="shared" si="9"/>
        <v>2866495</v>
      </c>
      <c r="D54" s="650"/>
      <c r="E54" s="650"/>
      <c r="F54" s="650"/>
      <c r="G54" s="650"/>
      <c r="H54" s="650"/>
      <c r="I54" s="649"/>
      <c r="J54" s="650"/>
      <c r="K54" s="649"/>
      <c r="L54" s="649"/>
      <c r="M54" s="649"/>
      <c r="N54" s="649"/>
      <c r="O54" s="649"/>
      <c r="P54" s="650"/>
      <c r="Q54" s="658"/>
      <c r="S54" s="654"/>
      <c r="V54" s="654"/>
      <c r="W54" s="654"/>
      <c r="X54" s="654"/>
      <c r="Y54" s="654"/>
      <c r="Z54" s="654"/>
      <c r="AA54" s="654"/>
      <c r="AB54" s="654"/>
      <c r="AC54" s="654"/>
      <c r="AD54" s="654"/>
      <c r="AE54" s="654"/>
      <c r="AF54" s="649"/>
      <c r="AG54" s="654"/>
      <c r="AH54" s="654"/>
      <c r="AI54" s="654"/>
      <c r="AJ54" s="654"/>
    </row>
    <row r="55" spans="1:42" s="657" customFormat="1" x14ac:dyDescent="0.3">
      <c r="A55" s="650"/>
      <c r="B55" s="650" t="s">
        <v>685</v>
      </c>
      <c r="C55" s="657">
        <f t="shared" si="9"/>
        <v>1422481</v>
      </c>
      <c r="D55" s="650"/>
      <c r="E55" s="650"/>
      <c r="F55" s="650"/>
      <c r="G55" s="650"/>
      <c r="H55" s="650"/>
      <c r="I55" s="649"/>
      <c r="J55" s="650"/>
      <c r="K55" s="649"/>
      <c r="L55" s="649"/>
      <c r="M55" s="649"/>
      <c r="N55" s="649"/>
      <c r="O55" s="649"/>
      <c r="P55" s="649"/>
      <c r="Q55" s="649"/>
      <c r="S55" s="654"/>
      <c r="V55" s="650"/>
      <c r="W55" s="654"/>
      <c r="X55" s="654"/>
      <c r="Y55" s="649"/>
      <c r="Z55" s="654"/>
      <c r="AA55" s="654"/>
      <c r="AB55" s="654"/>
      <c r="AC55" s="649"/>
      <c r="AD55" s="649"/>
      <c r="AE55" s="649"/>
      <c r="AF55" s="649"/>
      <c r="AG55" s="654"/>
      <c r="AH55" s="654"/>
      <c r="AI55" s="650"/>
      <c r="AJ55" s="654"/>
    </row>
    <row r="56" spans="1:42" s="657" customFormat="1" x14ac:dyDescent="0.3">
      <c r="A56" s="649"/>
      <c r="B56" s="650" t="s">
        <v>686</v>
      </c>
      <c r="C56" s="657">
        <f t="shared" si="9"/>
        <v>3443126</v>
      </c>
      <c r="D56" s="650"/>
      <c r="E56" s="650"/>
      <c r="F56" s="650"/>
      <c r="G56" s="650"/>
      <c r="H56" s="650"/>
      <c r="I56" s="649"/>
      <c r="J56" s="650"/>
      <c r="K56" s="649"/>
      <c r="L56" s="649"/>
      <c r="M56" s="649"/>
      <c r="N56" s="649"/>
      <c r="O56" s="649"/>
      <c r="P56" s="649"/>
      <c r="Q56" s="649"/>
      <c r="S56" s="654"/>
      <c r="V56" s="654"/>
      <c r="W56" s="654"/>
      <c r="X56" s="654"/>
      <c r="Y56" s="654"/>
      <c r="Z56" s="650"/>
      <c r="AA56" s="654"/>
      <c r="AB56" s="654"/>
      <c r="AC56" s="654"/>
      <c r="AD56" s="654"/>
      <c r="AE56" s="654"/>
      <c r="AF56" s="654"/>
      <c r="AG56" s="654"/>
      <c r="AH56" s="654"/>
      <c r="AI56" s="654"/>
      <c r="AJ56" s="654"/>
    </row>
    <row r="57" spans="1:42" s="657" customFormat="1" x14ac:dyDescent="0.3">
      <c r="B57" s="650" t="s">
        <v>687</v>
      </c>
      <c r="C57" s="657">
        <f t="shared" si="9"/>
        <v>668345</v>
      </c>
      <c r="D57" s="650"/>
      <c r="E57" s="650"/>
      <c r="F57" s="650"/>
      <c r="G57" s="650"/>
      <c r="H57" s="650"/>
      <c r="I57" s="649"/>
      <c r="J57" s="650"/>
      <c r="K57" s="649"/>
      <c r="L57" s="649"/>
      <c r="M57" s="649"/>
      <c r="N57" s="649"/>
      <c r="O57" s="649"/>
      <c r="P57" s="650"/>
      <c r="Q57" s="649"/>
      <c r="S57" s="654"/>
      <c r="V57" s="654"/>
      <c r="W57" s="654"/>
      <c r="X57" s="654"/>
      <c r="Y57" s="654"/>
      <c r="Z57" s="654"/>
      <c r="AA57" s="654"/>
      <c r="AB57" s="654"/>
      <c r="AC57" s="649"/>
      <c r="AD57" s="649"/>
      <c r="AE57" s="649"/>
      <c r="AF57" s="649"/>
      <c r="AG57" s="654"/>
      <c r="AH57" s="654"/>
      <c r="AI57" s="654"/>
      <c r="AJ57" s="654"/>
    </row>
    <row r="58" spans="1:42" s="657" customFormat="1" x14ac:dyDescent="0.3">
      <c r="A58" s="649"/>
      <c r="B58" s="650" t="s">
        <v>933</v>
      </c>
      <c r="C58" s="748">
        <v>63866.408604999997</v>
      </c>
      <c r="D58" s="650"/>
      <c r="E58" s="650"/>
      <c r="F58" s="650"/>
      <c r="G58" s="650"/>
      <c r="H58" s="650"/>
      <c r="I58" s="649"/>
      <c r="J58" s="650"/>
      <c r="K58" s="649"/>
      <c r="L58" s="649"/>
      <c r="M58" s="649"/>
      <c r="N58" s="649"/>
      <c r="O58" s="649"/>
      <c r="P58" s="650"/>
      <c r="Q58" s="650"/>
      <c r="S58" s="654"/>
      <c r="V58" s="654"/>
      <c r="W58" s="654"/>
      <c r="X58" s="654"/>
      <c r="Y58" s="654"/>
      <c r="Z58" s="654"/>
      <c r="AA58" s="654"/>
      <c r="AB58" s="654"/>
      <c r="AC58" s="654"/>
      <c r="AD58" s="654"/>
      <c r="AE58" s="654"/>
      <c r="AF58" s="654"/>
      <c r="AG58" s="654"/>
      <c r="AH58" s="654"/>
      <c r="AI58" s="654"/>
      <c r="AJ58" s="654"/>
    </row>
    <row r="59" spans="1:42" s="657" customFormat="1" x14ac:dyDescent="0.3">
      <c r="A59" s="649"/>
      <c r="B59" s="649"/>
      <c r="C59" s="650"/>
      <c r="D59" s="650"/>
      <c r="E59" s="650"/>
      <c r="F59" s="650"/>
      <c r="G59" s="650"/>
      <c r="H59" s="650"/>
      <c r="I59" s="649"/>
      <c r="J59" s="650"/>
      <c r="K59" s="649"/>
      <c r="L59" s="649"/>
      <c r="M59" s="649"/>
      <c r="N59" s="649"/>
      <c r="O59" s="649"/>
      <c r="P59" s="649"/>
      <c r="Q59" s="649"/>
      <c r="S59" s="654"/>
      <c r="V59" s="654"/>
      <c r="W59" s="650"/>
      <c r="X59" s="654"/>
      <c r="Y59" s="649"/>
      <c r="Z59" s="654"/>
      <c r="AA59" s="654"/>
      <c r="AB59" s="654"/>
      <c r="AC59" s="654"/>
      <c r="AD59" s="649"/>
      <c r="AE59" s="649"/>
      <c r="AF59" s="649"/>
      <c r="AG59" s="649"/>
      <c r="AH59" s="654"/>
      <c r="AI59" s="654"/>
      <c r="AJ59" s="654"/>
      <c r="AK59" s="654"/>
      <c r="AL59" s="654"/>
    </row>
    <row r="60" spans="1:42" s="657" customFormat="1" x14ac:dyDescent="0.3">
      <c r="A60" s="649"/>
      <c r="B60" s="650" t="s">
        <v>951</v>
      </c>
      <c r="C60" s="650"/>
      <c r="D60" s="650"/>
      <c r="E60" s="650"/>
      <c r="F60" s="650"/>
      <c r="G60" s="650"/>
      <c r="H60" s="650"/>
      <c r="I60" s="649"/>
      <c r="J60" s="650"/>
      <c r="K60" s="649"/>
      <c r="L60" s="649"/>
      <c r="M60" s="649"/>
      <c r="N60" s="649"/>
      <c r="O60" s="649"/>
      <c r="P60" s="650"/>
      <c r="Q60" s="650"/>
      <c r="V60" s="654"/>
      <c r="W60" s="649"/>
      <c r="X60" s="654"/>
      <c r="Y60" s="654"/>
      <c r="Z60" s="654"/>
      <c r="AA60" s="654"/>
      <c r="AB60" s="654"/>
    </row>
    <row r="61" spans="1:42" x14ac:dyDescent="0.3">
      <c r="B61" s="649" t="s">
        <v>682</v>
      </c>
      <c r="C61" s="657">
        <v>1424827</v>
      </c>
      <c r="I61" s="649"/>
      <c r="J61" s="650"/>
      <c r="K61" s="650"/>
      <c r="P61" s="649"/>
      <c r="Q61" s="649"/>
      <c r="R61" s="649"/>
      <c r="S61" s="657"/>
      <c r="V61" s="654"/>
      <c r="W61" s="654"/>
      <c r="AA61" s="654"/>
      <c r="AB61" s="650"/>
      <c r="AC61" s="657"/>
      <c r="AD61" s="657"/>
      <c r="AE61" s="657"/>
      <c r="AF61" s="657"/>
      <c r="AG61" s="657"/>
      <c r="AL61" s="657"/>
      <c r="AP61" s="657"/>
    </row>
    <row r="62" spans="1:42" x14ac:dyDescent="0.3">
      <c r="B62" s="649" t="s">
        <v>683</v>
      </c>
      <c r="C62" s="657">
        <v>1447937</v>
      </c>
      <c r="I62" s="649"/>
      <c r="J62" s="650"/>
      <c r="K62" s="650"/>
      <c r="Q62" s="649"/>
      <c r="R62" s="649"/>
      <c r="S62" s="649"/>
      <c r="V62" s="654"/>
      <c r="W62" s="654"/>
      <c r="X62" s="654"/>
      <c r="Y62" s="654"/>
      <c r="Z62" s="650"/>
      <c r="AA62" s="654"/>
      <c r="AB62" s="650"/>
    </row>
    <row r="63" spans="1:42" x14ac:dyDescent="0.3">
      <c r="B63" s="649" t="s">
        <v>684</v>
      </c>
      <c r="C63" s="657">
        <v>3257861</v>
      </c>
      <c r="I63" s="649"/>
      <c r="J63" s="650"/>
      <c r="K63" s="650"/>
      <c r="R63" s="649"/>
      <c r="S63" s="657"/>
      <c r="V63" s="654"/>
      <c r="AA63" s="654"/>
      <c r="AB63" s="654"/>
      <c r="AC63" s="657"/>
      <c r="AD63" s="657"/>
      <c r="AE63" s="657"/>
      <c r="AJ63" s="657"/>
      <c r="AK63" s="657"/>
      <c r="AL63" s="657"/>
      <c r="AM63" s="657"/>
      <c r="AN63" s="657"/>
      <c r="AO63" s="657"/>
      <c r="AP63" s="657"/>
    </row>
    <row r="64" spans="1:42" x14ac:dyDescent="0.3">
      <c r="B64" s="649" t="s">
        <v>685</v>
      </c>
      <c r="C64" s="657">
        <v>1422481</v>
      </c>
      <c r="I64" s="649"/>
      <c r="J64" s="650"/>
      <c r="K64" s="650"/>
      <c r="R64" s="649"/>
      <c r="S64" s="657"/>
      <c r="V64" s="657"/>
      <c r="W64" s="657"/>
      <c r="X64" s="657"/>
      <c r="Y64" s="657"/>
      <c r="Z64" s="657"/>
      <c r="AA64" s="657"/>
      <c r="AB64" s="657"/>
      <c r="AC64" s="657"/>
      <c r="AD64" s="657"/>
      <c r="AE64" s="657"/>
      <c r="AJ64" s="657"/>
      <c r="AK64" s="657"/>
      <c r="AL64" s="657"/>
      <c r="AM64" s="657"/>
    </row>
    <row r="65" spans="2:40" x14ac:dyDescent="0.3">
      <c r="B65" s="649" t="s">
        <v>686</v>
      </c>
      <c r="C65" s="657">
        <v>3476624</v>
      </c>
      <c r="I65" s="649"/>
      <c r="J65" s="650"/>
      <c r="K65" s="650"/>
      <c r="Q65" s="649"/>
      <c r="R65" s="649"/>
      <c r="S65" s="657"/>
      <c r="V65" s="657"/>
      <c r="W65" s="657"/>
      <c r="X65" s="657"/>
      <c r="Y65" s="657"/>
      <c r="Z65" s="657"/>
      <c r="AA65" s="657"/>
      <c r="AB65" s="657"/>
      <c r="AC65" s="657"/>
      <c r="AD65" s="657"/>
      <c r="AE65" s="657"/>
      <c r="AJ65" s="657"/>
      <c r="AK65" s="657"/>
      <c r="AL65" s="657"/>
      <c r="AM65" s="657"/>
    </row>
    <row r="66" spans="2:40" x14ac:dyDescent="0.3">
      <c r="B66" s="649" t="s">
        <v>687</v>
      </c>
      <c r="C66" s="657">
        <v>690632</v>
      </c>
      <c r="I66" s="649"/>
      <c r="J66" s="650"/>
      <c r="K66" s="650"/>
      <c r="R66" s="649"/>
      <c r="S66" s="657"/>
      <c r="AC66" s="657"/>
      <c r="AD66" s="657"/>
      <c r="AE66" s="657"/>
      <c r="AJ66" s="657"/>
      <c r="AK66" s="657"/>
      <c r="AL66" s="657"/>
      <c r="AM66" s="657"/>
    </row>
    <row r="67" spans="2:40" x14ac:dyDescent="0.3">
      <c r="B67" s="649" t="s">
        <v>933</v>
      </c>
      <c r="C67" s="748">
        <v>63866.408604999997</v>
      </c>
      <c r="I67" s="649"/>
      <c r="J67" s="650"/>
      <c r="K67" s="650"/>
      <c r="P67" s="649"/>
      <c r="Q67" s="649"/>
      <c r="R67" s="649"/>
      <c r="S67" s="657"/>
      <c r="V67" s="657"/>
      <c r="W67" s="657"/>
      <c r="X67" s="657"/>
      <c r="Y67" s="657"/>
      <c r="Z67" s="657"/>
      <c r="AA67" s="657"/>
      <c r="AB67" s="657"/>
      <c r="AC67" s="657"/>
      <c r="AD67" s="657"/>
      <c r="AE67" s="657"/>
      <c r="AJ67" s="657"/>
      <c r="AK67" s="657"/>
      <c r="AL67" s="657"/>
      <c r="AM67" s="657"/>
    </row>
    <row r="68" spans="2:40" x14ac:dyDescent="0.3">
      <c r="I68" s="649"/>
      <c r="J68" s="650"/>
      <c r="K68" s="650"/>
      <c r="R68" s="649"/>
      <c r="S68" s="657"/>
      <c r="V68" s="657"/>
      <c r="W68" s="657"/>
      <c r="X68" s="657"/>
      <c r="Y68" s="657"/>
      <c r="Z68" s="657"/>
      <c r="AA68" s="657"/>
      <c r="AB68" s="657"/>
      <c r="AC68" s="657"/>
      <c r="AD68" s="657"/>
      <c r="AE68" s="657"/>
      <c r="AJ68" s="657"/>
      <c r="AK68" s="657"/>
      <c r="AL68" s="657"/>
      <c r="AM68" s="657"/>
    </row>
    <row r="69" spans="2:40" x14ac:dyDescent="0.3">
      <c r="I69" s="649"/>
      <c r="J69" s="650"/>
      <c r="K69" s="650"/>
      <c r="P69" s="649"/>
      <c r="Q69" s="649"/>
      <c r="R69" s="649"/>
      <c r="S69" s="657"/>
      <c r="V69" s="657"/>
      <c r="W69" s="657"/>
      <c r="X69" s="657"/>
      <c r="Y69" s="657"/>
      <c r="Z69" s="657"/>
      <c r="AA69" s="657"/>
      <c r="AB69" s="657"/>
      <c r="AC69" s="657"/>
      <c r="AD69" s="657"/>
      <c r="AE69" s="657"/>
      <c r="AJ69" s="657"/>
      <c r="AK69" s="657"/>
      <c r="AL69" s="657"/>
      <c r="AM69" s="657"/>
    </row>
    <row r="70" spans="2:40" x14ac:dyDescent="0.3">
      <c r="C70" s="650" t="s">
        <v>934</v>
      </c>
      <c r="D70" s="650" t="s">
        <v>935</v>
      </c>
      <c r="E70" s="650" t="s">
        <v>936</v>
      </c>
      <c r="F70" s="650" t="s">
        <v>937</v>
      </c>
      <c r="G70" s="650" t="s">
        <v>938</v>
      </c>
      <c r="H70" s="650" t="s">
        <v>939</v>
      </c>
      <c r="I70" s="649" t="s">
        <v>940</v>
      </c>
      <c r="K70" s="650"/>
      <c r="Q70" s="649"/>
      <c r="R70" s="649"/>
      <c r="S70" s="649"/>
      <c r="U70" s="657"/>
      <c r="V70" s="657"/>
      <c r="W70" s="657"/>
      <c r="X70" s="657"/>
      <c r="Y70" s="657"/>
      <c r="Z70" s="657"/>
      <c r="AA70" s="657"/>
      <c r="AB70" s="657"/>
      <c r="AC70" s="657"/>
      <c r="AD70" s="657"/>
      <c r="AE70" s="657"/>
      <c r="AJ70" s="657"/>
      <c r="AK70" s="657"/>
      <c r="AL70" s="657"/>
      <c r="AM70" s="657"/>
    </row>
    <row r="71" spans="2:40" x14ac:dyDescent="0.3">
      <c r="B71" s="747" t="s">
        <v>682</v>
      </c>
      <c r="C71" s="749">
        <f t="shared" ref="C71:I71" si="10">+C15</f>
        <v>261059</v>
      </c>
      <c r="D71" s="749">
        <f t="shared" si="10"/>
        <v>37335</v>
      </c>
      <c r="E71" s="749">
        <f t="shared" si="10"/>
        <v>16126</v>
      </c>
      <c r="F71" s="749">
        <f t="shared" si="10"/>
        <v>45533</v>
      </c>
      <c r="G71" s="749">
        <f t="shared" si="10"/>
        <v>39700</v>
      </c>
      <c r="H71" s="749">
        <f t="shared" si="10"/>
        <v>66336</v>
      </c>
      <c r="I71" s="749">
        <f t="shared" si="10"/>
        <v>6381</v>
      </c>
      <c r="J71" s="657"/>
      <c r="K71" s="650"/>
      <c r="Q71" s="649"/>
      <c r="R71" s="649"/>
      <c r="S71" s="649"/>
      <c r="U71" s="657"/>
      <c r="V71" s="657"/>
      <c r="W71" s="657"/>
      <c r="X71" s="657"/>
      <c r="Y71" s="657"/>
      <c r="Z71" s="657"/>
      <c r="AA71" s="657"/>
      <c r="AB71" s="657"/>
      <c r="AC71" s="657"/>
      <c r="AD71" s="657"/>
      <c r="AE71" s="657"/>
      <c r="AJ71" s="657"/>
      <c r="AK71" s="657"/>
      <c r="AL71" s="657"/>
      <c r="AM71" s="657"/>
    </row>
    <row r="72" spans="2:40" x14ac:dyDescent="0.3">
      <c r="B72" s="747" t="s">
        <v>683</v>
      </c>
      <c r="C72" s="749">
        <f t="shared" ref="C72:D76" si="11">+C16</f>
        <v>258421</v>
      </c>
      <c r="D72" s="749">
        <f t="shared" si="11"/>
        <v>15610</v>
      </c>
      <c r="E72" s="749">
        <f t="shared" ref="E72:I76" si="12">+E16</f>
        <v>2426</v>
      </c>
      <c r="F72" s="749">
        <f t="shared" si="12"/>
        <v>13504</v>
      </c>
      <c r="G72" s="749">
        <f t="shared" si="12"/>
        <v>44068</v>
      </c>
      <c r="H72" s="749">
        <f t="shared" si="12"/>
        <v>58263</v>
      </c>
      <c r="I72" s="749">
        <f t="shared" si="12"/>
        <v>1806</v>
      </c>
      <c r="J72" s="657"/>
      <c r="K72" s="650"/>
      <c r="Q72" s="649"/>
      <c r="R72" s="649"/>
      <c r="S72" s="649"/>
      <c r="V72" s="657"/>
      <c r="W72" s="657"/>
      <c r="X72" s="657"/>
      <c r="Y72" s="657"/>
      <c r="Z72" s="657"/>
      <c r="AA72" s="657"/>
      <c r="AB72" s="657"/>
      <c r="AC72" s="657"/>
      <c r="AD72" s="657"/>
      <c r="AE72" s="657"/>
      <c r="AJ72" s="657"/>
      <c r="AK72" s="657"/>
      <c r="AL72" s="657"/>
      <c r="AM72" s="657"/>
    </row>
    <row r="73" spans="2:40" x14ac:dyDescent="0.3">
      <c r="B73" s="747" t="s">
        <v>684</v>
      </c>
      <c r="C73" s="749">
        <f t="shared" si="11"/>
        <v>126838</v>
      </c>
      <c r="D73" s="749">
        <f t="shared" si="11"/>
        <v>33647</v>
      </c>
      <c r="E73" s="749">
        <f t="shared" si="12"/>
        <v>54856</v>
      </c>
      <c r="F73" s="749">
        <f t="shared" si="12"/>
        <v>71450</v>
      </c>
      <c r="G73" s="749">
        <f t="shared" si="12"/>
        <v>125564</v>
      </c>
      <c r="H73" s="749">
        <f t="shared" si="12"/>
        <v>123131</v>
      </c>
      <c r="I73" s="749">
        <f t="shared" si="12"/>
        <v>55884</v>
      </c>
      <c r="J73" s="657"/>
      <c r="K73" s="650"/>
      <c r="Q73" s="649"/>
      <c r="R73" s="649"/>
      <c r="S73" s="649"/>
      <c r="V73" s="657"/>
      <c r="W73" s="657"/>
      <c r="X73" s="657"/>
      <c r="Y73" s="657"/>
      <c r="Z73" s="657"/>
      <c r="AA73" s="657"/>
      <c r="AB73" s="657"/>
    </row>
    <row r="74" spans="2:40" x14ac:dyDescent="0.3">
      <c r="B74" s="747" t="s">
        <v>685</v>
      </c>
      <c r="C74" s="749">
        <f t="shared" si="11"/>
        <v>76925</v>
      </c>
      <c r="D74" s="749">
        <f t="shared" si="11"/>
        <v>4817</v>
      </c>
      <c r="E74" s="749">
        <f t="shared" si="12"/>
        <v>1532</v>
      </c>
      <c r="F74" s="749">
        <f t="shared" si="12"/>
        <v>17488</v>
      </c>
      <c r="G74" s="749">
        <f t="shared" si="12"/>
        <v>63478</v>
      </c>
      <c r="H74" s="749">
        <f t="shared" si="12"/>
        <v>68520</v>
      </c>
      <c r="I74" s="749">
        <f t="shared" si="12"/>
        <v>11588</v>
      </c>
      <c r="J74" s="657"/>
      <c r="K74" s="650"/>
      <c r="Q74" s="649"/>
      <c r="R74" s="649"/>
      <c r="S74" s="649"/>
      <c r="V74" s="657"/>
      <c r="W74" s="657"/>
      <c r="X74" s="657"/>
      <c r="Y74" s="657"/>
      <c r="Z74" s="657"/>
      <c r="AA74" s="657"/>
      <c r="AB74" s="657"/>
    </row>
    <row r="75" spans="2:40" x14ac:dyDescent="0.3">
      <c r="B75" s="747" t="s">
        <v>686</v>
      </c>
      <c r="C75" s="749">
        <f t="shared" si="11"/>
        <v>2843708</v>
      </c>
      <c r="D75" s="749">
        <f t="shared" si="11"/>
        <v>18332</v>
      </c>
      <c r="E75" s="749">
        <f t="shared" si="12"/>
        <v>18312</v>
      </c>
      <c r="F75" s="749">
        <f t="shared" si="12"/>
        <v>19547</v>
      </c>
      <c r="G75" s="749">
        <f t="shared" si="12"/>
        <v>72516</v>
      </c>
      <c r="H75" s="749">
        <f t="shared" si="12"/>
        <v>36714</v>
      </c>
      <c r="I75" s="749">
        <f t="shared" si="12"/>
        <v>872</v>
      </c>
      <c r="J75" s="657"/>
      <c r="K75" s="650"/>
      <c r="Q75" s="649"/>
      <c r="R75" s="649"/>
      <c r="S75" s="649"/>
      <c r="V75" s="657"/>
      <c r="W75" s="657"/>
      <c r="X75" s="657"/>
      <c r="Y75" s="657"/>
      <c r="Z75" s="657"/>
      <c r="AA75" s="657"/>
      <c r="AB75" s="657"/>
      <c r="AF75" s="649" t="s">
        <v>490</v>
      </c>
      <c r="AJ75" s="649" t="s">
        <v>490</v>
      </c>
      <c r="AN75" s="649" t="s">
        <v>490</v>
      </c>
    </row>
    <row r="76" spans="2:40" x14ac:dyDescent="0.3">
      <c r="B76" s="747" t="s">
        <v>687</v>
      </c>
      <c r="C76" s="749">
        <f t="shared" si="11"/>
        <v>340715</v>
      </c>
      <c r="D76" s="749">
        <f t="shared" si="11"/>
        <v>7287</v>
      </c>
      <c r="E76" s="749">
        <f t="shared" si="12"/>
        <v>6954</v>
      </c>
      <c r="F76" s="749">
        <f t="shared" si="12"/>
        <v>11886</v>
      </c>
      <c r="G76" s="749">
        <f t="shared" si="12"/>
        <v>11326</v>
      </c>
      <c r="H76" s="749">
        <f t="shared" si="12"/>
        <v>10490</v>
      </c>
      <c r="I76" s="749">
        <f t="shared" si="12"/>
        <v>279</v>
      </c>
      <c r="J76" s="657"/>
      <c r="K76" s="650"/>
      <c r="Q76" s="649"/>
      <c r="R76" s="649"/>
      <c r="S76" s="649"/>
      <c r="X76" s="657"/>
      <c r="Y76" s="657"/>
      <c r="Z76" s="657"/>
      <c r="AA76" s="657"/>
      <c r="AB76" s="657"/>
    </row>
    <row r="77" spans="2:40" x14ac:dyDescent="0.3">
      <c r="B77" s="747"/>
      <c r="C77" s="750"/>
      <c r="D77" s="750"/>
      <c r="E77" s="750"/>
      <c r="F77" s="750"/>
      <c r="G77" s="750"/>
      <c r="H77" s="750"/>
      <c r="I77" s="751"/>
      <c r="K77" s="650"/>
      <c r="Q77" s="649"/>
      <c r="R77" s="649"/>
      <c r="S77" s="649"/>
    </row>
    <row r="78" spans="2:40" x14ac:dyDescent="0.3">
      <c r="B78" s="747" t="s">
        <v>949</v>
      </c>
      <c r="C78" s="650" t="s">
        <v>941</v>
      </c>
      <c r="D78" s="650" t="s">
        <v>942</v>
      </c>
      <c r="E78" s="650" t="s">
        <v>943</v>
      </c>
      <c r="F78" s="650" t="s">
        <v>944</v>
      </c>
      <c r="G78" s="650" t="s">
        <v>945</v>
      </c>
      <c r="H78" s="650" t="s">
        <v>946</v>
      </c>
      <c r="I78" s="649" t="s">
        <v>947</v>
      </c>
      <c r="J78" s="649" t="s">
        <v>948</v>
      </c>
      <c r="K78" s="650"/>
      <c r="Q78" s="649"/>
      <c r="R78" s="649"/>
      <c r="S78" s="649"/>
    </row>
    <row r="79" spans="2:40" x14ac:dyDescent="0.3">
      <c r="B79" s="747" t="s">
        <v>682</v>
      </c>
      <c r="C79" s="749">
        <f t="shared" ref="C79:J83" si="13">+J15</f>
        <v>112547</v>
      </c>
      <c r="D79" s="749">
        <f t="shared" si="13"/>
        <v>179223</v>
      </c>
      <c r="E79" s="749">
        <f t="shared" si="13"/>
        <v>63402</v>
      </c>
      <c r="F79" s="749">
        <f t="shared" si="13"/>
        <v>1790</v>
      </c>
      <c r="G79" s="749">
        <f t="shared" si="13"/>
        <v>2347</v>
      </c>
      <c r="H79" s="749">
        <f t="shared" si="13"/>
        <v>52359</v>
      </c>
      <c r="I79" s="749">
        <f t="shared" si="13"/>
        <v>76667</v>
      </c>
      <c r="J79" s="749">
        <f t="shared" si="13"/>
        <v>245752</v>
      </c>
      <c r="K79" s="750"/>
      <c r="Q79" s="649"/>
      <c r="R79" s="649"/>
      <c r="S79" s="649"/>
      <c r="X79" s="649" t="s">
        <v>490</v>
      </c>
      <c r="AB79" s="649" t="s">
        <v>490</v>
      </c>
    </row>
    <row r="80" spans="2:40" x14ac:dyDescent="0.3">
      <c r="B80" s="747" t="s">
        <v>683</v>
      </c>
      <c r="C80" s="749">
        <f t="shared" si="13"/>
        <v>60183</v>
      </c>
      <c r="D80" s="749">
        <f t="shared" si="13"/>
        <v>544388</v>
      </c>
      <c r="E80" s="749">
        <f t="shared" si="13"/>
        <v>139209</v>
      </c>
      <c r="F80" s="749">
        <f t="shared" si="13"/>
        <v>4155</v>
      </c>
      <c r="G80" s="749">
        <f t="shared" si="13"/>
        <v>151</v>
      </c>
      <c r="H80" s="749">
        <f t="shared" si="13"/>
        <v>0</v>
      </c>
      <c r="I80" s="749">
        <f t="shared" si="13"/>
        <v>88728</v>
      </c>
      <c r="J80" s="749">
        <f t="shared" si="13"/>
        <v>217024</v>
      </c>
      <c r="K80" s="750"/>
      <c r="Q80" s="649"/>
      <c r="R80" s="649"/>
      <c r="S80" s="649"/>
    </row>
    <row r="81" spans="2:25" x14ac:dyDescent="0.3">
      <c r="B81" s="747" t="s">
        <v>684</v>
      </c>
      <c r="C81" s="749">
        <f t="shared" si="13"/>
        <v>135213</v>
      </c>
      <c r="D81" s="749">
        <f t="shared" si="13"/>
        <v>445066</v>
      </c>
      <c r="E81" s="749">
        <f t="shared" si="13"/>
        <v>190096</v>
      </c>
      <c r="F81" s="749">
        <f t="shared" si="13"/>
        <v>24400</v>
      </c>
      <c r="G81" s="749">
        <f t="shared" si="13"/>
        <v>127508</v>
      </c>
      <c r="H81" s="749">
        <f t="shared" si="13"/>
        <v>666899</v>
      </c>
      <c r="I81" s="749">
        <f t="shared" si="13"/>
        <v>422617</v>
      </c>
      <c r="J81" s="749">
        <f t="shared" si="13"/>
        <v>263325</v>
      </c>
      <c r="K81" s="750"/>
      <c r="S81" s="649"/>
    </row>
    <row r="82" spans="2:25" x14ac:dyDescent="0.3">
      <c r="B82" s="747" t="s">
        <v>685</v>
      </c>
      <c r="C82" s="749">
        <f t="shared" si="13"/>
        <v>74454</v>
      </c>
      <c r="D82" s="749">
        <f t="shared" si="13"/>
        <v>483599</v>
      </c>
      <c r="E82" s="749">
        <f t="shared" si="13"/>
        <v>203666</v>
      </c>
      <c r="F82" s="749">
        <f t="shared" si="13"/>
        <v>10681</v>
      </c>
      <c r="G82" s="749">
        <f t="shared" si="13"/>
        <v>44126</v>
      </c>
      <c r="H82" s="749">
        <f t="shared" si="13"/>
        <v>0</v>
      </c>
      <c r="I82" s="749">
        <f t="shared" si="13"/>
        <v>236259</v>
      </c>
      <c r="J82" s="749">
        <f t="shared" si="13"/>
        <v>125348</v>
      </c>
      <c r="K82" s="750"/>
      <c r="S82" s="649"/>
    </row>
    <row r="83" spans="2:25" x14ac:dyDescent="0.3">
      <c r="B83" s="747" t="s">
        <v>686</v>
      </c>
      <c r="C83" s="749">
        <f t="shared" si="13"/>
        <v>38539</v>
      </c>
      <c r="D83" s="749">
        <f t="shared" si="13"/>
        <v>212498</v>
      </c>
      <c r="E83" s="749">
        <f t="shared" si="13"/>
        <v>33083</v>
      </c>
      <c r="F83" s="749">
        <f t="shared" si="13"/>
        <v>1914</v>
      </c>
      <c r="G83" s="749">
        <f t="shared" si="13"/>
        <v>213</v>
      </c>
      <c r="H83" s="749">
        <f t="shared" si="13"/>
        <v>29532</v>
      </c>
      <c r="I83" s="749">
        <f t="shared" si="13"/>
        <v>17906</v>
      </c>
      <c r="J83" s="749">
        <f t="shared" si="13"/>
        <v>99439</v>
      </c>
      <c r="K83" s="750"/>
      <c r="S83" s="649"/>
    </row>
    <row r="84" spans="2:25" x14ac:dyDescent="0.3">
      <c r="B84" s="747" t="s">
        <v>687</v>
      </c>
      <c r="C84" s="749">
        <f t="shared" ref="C84:I84" si="14">+J20</f>
        <v>15792</v>
      </c>
      <c r="D84" s="749">
        <f t="shared" si="14"/>
        <v>62554</v>
      </c>
      <c r="E84" s="749">
        <f t="shared" si="14"/>
        <v>31196</v>
      </c>
      <c r="F84" s="749">
        <f t="shared" si="14"/>
        <v>1491</v>
      </c>
      <c r="G84" s="749">
        <f t="shared" si="14"/>
        <v>4696</v>
      </c>
      <c r="H84" s="749">
        <f t="shared" si="14"/>
        <v>109274</v>
      </c>
      <c r="I84" s="749">
        <f t="shared" si="14"/>
        <v>22737</v>
      </c>
      <c r="J84" s="749">
        <f>+Q20</f>
        <v>31668</v>
      </c>
      <c r="K84" s="750"/>
      <c r="S84" s="649"/>
    </row>
    <row r="85" spans="2:25" x14ac:dyDescent="0.3">
      <c r="C85" s="750"/>
      <c r="D85" s="750"/>
      <c r="E85" s="750"/>
      <c r="F85" s="750"/>
      <c r="G85" s="750"/>
      <c r="H85" s="750"/>
      <c r="I85" s="751"/>
      <c r="J85" s="751"/>
      <c r="K85" s="750"/>
      <c r="S85" s="649"/>
    </row>
    <row r="86" spans="2:25" x14ac:dyDescent="0.3">
      <c r="B86" s="747" t="s">
        <v>969</v>
      </c>
      <c r="C86" s="650" t="s">
        <v>964</v>
      </c>
      <c r="I86" s="649"/>
      <c r="K86" s="650" t="s">
        <v>963</v>
      </c>
      <c r="S86" s="649" t="s">
        <v>962</v>
      </c>
    </row>
    <row r="87" spans="2:25" x14ac:dyDescent="0.3">
      <c r="C87" s="650">
        <v>1</v>
      </c>
      <c r="D87" s="650">
        <v>2</v>
      </c>
      <c r="E87" s="650">
        <v>3</v>
      </c>
      <c r="F87" s="650">
        <v>4</v>
      </c>
      <c r="G87" s="650">
        <v>5</v>
      </c>
      <c r="H87" s="650">
        <v>6</v>
      </c>
      <c r="I87" s="649" t="s">
        <v>491</v>
      </c>
      <c r="K87" s="650">
        <v>1</v>
      </c>
      <c r="L87" s="650">
        <v>2</v>
      </c>
      <c r="M87" s="650">
        <v>3</v>
      </c>
      <c r="N87" s="650">
        <v>4</v>
      </c>
      <c r="O87" s="650">
        <v>5</v>
      </c>
      <c r="P87" s="650">
        <v>6</v>
      </c>
      <c r="Q87" s="649" t="s">
        <v>491</v>
      </c>
      <c r="S87" s="650">
        <v>1</v>
      </c>
      <c r="T87" s="650">
        <v>2</v>
      </c>
      <c r="U87" s="650">
        <v>3</v>
      </c>
      <c r="V87" s="650">
        <v>4</v>
      </c>
      <c r="W87" s="650">
        <v>5</v>
      </c>
      <c r="X87" s="650">
        <v>6</v>
      </c>
      <c r="Y87" s="649" t="s">
        <v>491</v>
      </c>
    </row>
    <row r="88" spans="2:25" x14ac:dyDescent="0.3">
      <c r="B88" s="649">
        <v>1</v>
      </c>
      <c r="C88" s="650">
        <v>1846189661.29</v>
      </c>
      <c r="D88" s="650">
        <v>27158225.07</v>
      </c>
      <c r="E88" s="650">
        <v>6113234756.5699997</v>
      </c>
      <c r="F88" s="650">
        <v>34081432.899999999</v>
      </c>
      <c r="I88" s="649">
        <v>8020664075.8199997</v>
      </c>
      <c r="J88" s="649">
        <v>1</v>
      </c>
      <c r="K88" s="650">
        <v>64080712.539999999</v>
      </c>
      <c r="L88" s="650">
        <v>2339388368.4400001</v>
      </c>
      <c r="M88" s="650">
        <v>259517469.81999999</v>
      </c>
      <c r="N88" s="650">
        <v>2747935101.6500001</v>
      </c>
      <c r="Q88" s="650">
        <v>5410921652.4499998</v>
      </c>
      <c r="R88" s="650">
        <v>1</v>
      </c>
      <c r="S88" s="649">
        <v>1910270373.8299999</v>
      </c>
      <c r="T88" s="649">
        <v>2366546593.5100002</v>
      </c>
      <c r="U88" s="649">
        <v>6372752226.3900003</v>
      </c>
      <c r="V88" s="649">
        <v>2782016534.5500002</v>
      </c>
      <c r="Y88" s="649">
        <v>13431585728.27</v>
      </c>
    </row>
    <row r="89" spans="2:25" x14ac:dyDescent="0.3">
      <c r="B89" s="649">
        <v>2</v>
      </c>
      <c r="G89" s="650">
        <v>605596876.49000001</v>
      </c>
      <c r="H89" s="650">
        <v>510917613.5</v>
      </c>
      <c r="I89" s="649">
        <v>1116514489.99</v>
      </c>
      <c r="J89" s="650">
        <v>2</v>
      </c>
      <c r="K89" s="650"/>
      <c r="O89" s="650">
        <v>791097622.95000005</v>
      </c>
      <c r="P89" s="650">
        <v>393320490.69999999</v>
      </c>
      <c r="Q89" s="650">
        <v>1184418113.6500001</v>
      </c>
      <c r="R89" s="650">
        <v>2</v>
      </c>
      <c r="S89" s="649"/>
      <c r="W89" s="649">
        <v>1396694499.4400001</v>
      </c>
      <c r="X89" s="649">
        <v>904238104.21000004</v>
      </c>
      <c r="Y89" s="649">
        <v>2300932603.6399999</v>
      </c>
    </row>
    <row r="90" spans="2:25" x14ac:dyDescent="0.3">
      <c r="B90" s="649">
        <v>3</v>
      </c>
      <c r="C90" s="650">
        <v>778217200.21000004</v>
      </c>
      <c r="D90" s="650">
        <v>24689301.140000001</v>
      </c>
      <c r="E90" s="650">
        <v>5180938386.1800003</v>
      </c>
      <c r="F90" s="650">
        <v>67769493.829999998</v>
      </c>
      <c r="I90" s="650">
        <v>6051614381.3599997</v>
      </c>
      <c r="J90" s="650">
        <v>3</v>
      </c>
      <c r="K90" s="650">
        <v>17222363.43</v>
      </c>
      <c r="L90" s="650">
        <v>1516900660.2</v>
      </c>
      <c r="M90" s="650">
        <v>199571871.00999999</v>
      </c>
      <c r="N90" s="650">
        <v>1910976571.23</v>
      </c>
      <c r="Q90" s="650">
        <v>3644671465.8699999</v>
      </c>
      <c r="R90" s="650">
        <v>3</v>
      </c>
      <c r="S90" s="649">
        <v>795439563.63999999</v>
      </c>
      <c r="T90" s="649">
        <v>1541589961.3399999</v>
      </c>
      <c r="U90" s="649">
        <v>5380510257.1899996</v>
      </c>
      <c r="V90" s="649">
        <v>1978746065.0599999</v>
      </c>
      <c r="Y90" s="649">
        <v>9696285847.2299995</v>
      </c>
    </row>
    <row r="91" spans="2:25" x14ac:dyDescent="0.3">
      <c r="B91" s="649">
        <v>4</v>
      </c>
      <c r="G91" s="650">
        <v>1060725920.3099999</v>
      </c>
      <c r="H91" s="650">
        <v>1270210961.75</v>
      </c>
      <c r="I91" s="650">
        <v>2330936882.0500002</v>
      </c>
      <c r="J91" s="650">
        <v>4</v>
      </c>
      <c r="K91" s="650"/>
      <c r="O91" s="650">
        <v>2935420006.1700001</v>
      </c>
      <c r="P91" s="650">
        <v>606262396.12</v>
      </c>
      <c r="Q91" s="650">
        <v>3541682402.29</v>
      </c>
      <c r="R91" s="650">
        <v>4</v>
      </c>
      <c r="S91" s="649"/>
      <c r="W91" s="649">
        <v>3996145926.4699998</v>
      </c>
      <c r="X91" s="649">
        <v>1876473357.8699999</v>
      </c>
      <c r="Y91" s="649">
        <v>5872619284.3400002</v>
      </c>
    </row>
    <row r="92" spans="2:25" x14ac:dyDescent="0.3">
      <c r="B92" s="649">
        <v>5</v>
      </c>
      <c r="C92" s="650">
        <v>449229031.20999998</v>
      </c>
      <c r="D92" s="650">
        <v>9539678.9600000009</v>
      </c>
      <c r="E92" s="650">
        <v>1753435905.6199999</v>
      </c>
      <c r="F92" s="650">
        <v>17983630.800000001</v>
      </c>
      <c r="I92" s="650">
        <v>2230188246.5900002</v>
      </c>
      <c r="J92" s="650">
        <v>5</v>
      </c>
      <c r="K92" s="650">
        <v>8306670.6600000001</v>
      </c>
      <c r="L92" s="650">
        <v>868867979.59000003</v>
      </c>
      <c r="M92" s="650">
        <v>101293138.69</v>
      </c>
      <c r="N92" s="650">
        <v>688993096.51999998</v>
      </c>
      <c r="Q92" s="650">
        <v>1667460885.46</v>
      </c>
      <c r="R92" s="650">
        <v>5</v>
      </c>
      <c r="S92" s="649">
        <v>457535701.87</v>
      </c>
      <c r="T92" s="649">
        <v>878407658.54999995</v>
      </c>
      <c r="U92" s="649">
        <v>1854729044.3099999</v>
      </c>
      <c r="V92" s="649">
        <v>706976727.32000005</v>
      </c>
      <c r="Y92" s="649">
        <v>3897649132.0500002</v>
      </c>
    </row>
    <row r="93" spans="2:25" x14ac:dyDescent="0.3">
      <c r="B93" s="649">
        <v>6</v>
      </c>
      <c r="G93" s="650">
        <v>360166895.86000001</v>
      </c>
      <c r="H93" s="650">
        <v>296899760.41000003</v>
      </c>
      <c r="I93" s="650">
        <v>657066656.25999999</v>
      </c>
      <c r="J93" s="650">
        <v>6</v>
      </c>
      <c r="K93" s="650"/>
      <c r="O93" s="650">
        <v>1129907560.98</v>
      </c>
      <c r="P93" s="650">
        <v>239470842.31</v>
      </c>
      <c r="Q93" s="650">
        <v>1369378403.29</v>
      </c>
      <c r="R93" s="650">
        <v>6</v>
      </c>
      <c r="S93" s="649"/>
      <c r="W93" s="649">
        <v>1490074456.8299999</v>
      </c>
      <c r="X93" s="649">
        <v>536370602.72000003</v>
      </c>
      <c r="Y93" s="649">
        <v>2026445059.55</v>
      </c>
    </row>
    <row r="94" spans="2:25" x14ac:dyDescent="0.3">
      <c r="B94" s="649">
        <v>7</v>
      </c>
      <c r="C94" s="650">
        <v>2684193839.8800001</v>
      </c>
      <c r="D94" s="650">
        <v>47437948.479999997</v>
      </c>
      <c r="E94" s="650">
        <v>26096801057.130001</v>
      </c>
      <c r="F94" s="650">
        <v>161937140.88999999</v>
      </c>
      <c r="I94" s="650">
        <v>28990369986.380001</v>
      </c>
      <c r="J94" s="650">
        <v>7</v>
      </c>
      <c r="K94" s="650">
        <v>59193060.509999998</v>
      </c>
      <c r="L94" s="650">
        <v>3233998983.2600002</v>
      </c>
      <c r="M94" s="650">
        <v>857955917.92999995</v>
      </c>
      <c r="N94" s="650">
        <v>10311196066.889999</v>
      </c>
      <c r="Q94" s="650">
        <v>14462344028.59</v>
      </c>
      <c r="R94" s="650">
        <v>7</v>
      </c>
      <c r="S94" s="649">
        <v>2743386900.3899999</v>
      </c>
      <c r="T94" s="649">
        <v>3281436931.7399998</v>
      </c>
      <c r="U94" s="649">
        <v>26954756975.060001</v>
      </c>
      <c r="V94" s="649">
        <v>10473133207.780001</v>
      </c>
      <c r="Y94" s="649">
        <v>43452714014.970001</v>
      </c>
    </row>
    <row r="95" spans="2:25" x14ac:dyDescent="0.3">
      <c r="B95" s="649" t="s">
        <v>491</v>
      </c>
      <c r="C95" s="650">
        <v>5757829732.5900002</v>
      </c>
      <c r="D95" s="650">
        <v>108825153.65000001</v>
      </c>
      <c r="E95" s="650">
        <v>39144410105.489998</v>
      </c>
      <c r="F95" s="650">
        <v>281771698.42000002</v>
      </c>
      <c r="G95" s="650">
        <v>2026489692.6500001</v>
      </c>
      <c r="H95" s="650">
        <v>2078028335.6500001</v>
      </c>
      <c r="I95" s="650">
        <v>49397354718.449997</v>
      </c>
      <c r="J95" s="650" t="s">
        <v>491</v>
      </c>
      <c r="K95" s="650">
        <v>148802807.13999999</v>
      </c>
      <c r="L95" s="650">
        <v>7959155991.4799995</v>
      </c>
      <c r="M95" s="650">
        <v>1418338397.45</v>
      </c>
      <c r="N95" s="650">
        <v>15659100836.290001</v>
      </c>
      <c r="O95" s="650">
        <v>4856425190.0900002</v>
      </c>
      <c r="P95" s="650">
        <v>1239053729.1400001</v>
      </c>
      <c r="Q95" s="650">
        <v>31280876951.59</v>
      </c>
      <c r="R95" s="650" t="s">
        <v>491</v>
      </c>
      <c r="S95" s="649">
        <v>5906632539.7200003</v>
      </c>
      <c r="T95" s="649">
        <v>8067981145.1300001</v>
      </c>
      <c r="U95" s="649">
        <v>40562748502.940002</v>
      </c>
      <c r="V95" s="649">
        <v>15940872534.709999</v>
      </c>
      <c r="W95" s="649">
        <v>6882914882.7399998</v>
      </c>
      <c r="X95" s="649">
        <v>3317082064.79</v>
      </c>
      <c r="Y95" s="649">
        <v>80678231670.039993</v>
      </c>
    </row>
    <row r="96" spans="2:25" x14ac:dyDescent="0.3">
      <c r="J96" s="650"/>
      <c r="K96" s="650"/>
      <c r="S96" s="649"/>
    </row>
    <row r="97" spans="2:19" x14ac:dyDescent="0.3">
      <c r="B97" s="649" t="s">
        <v>967</v>
      </c>
      <c r="S97" s="649"/>
    </row>
    <row r="98" spans="2:19" x14ac:dyDescent="0.3">
      <c r="C98" s="650">
        <v>1</v>
      </c>
      <c r="D98" s="650">
        <v>2</v>
      </c>
      <c r="E98" s="650">
        <v>3</v>
      </c>
      <c r="F98" s="650">
        <v>4</v>
      </c>
      <c r="G98" s="650">
        <v>5</v>
      </c>
      <c r="H98" s="650">
        <v>6</v>
      </c>
      <c r="I98" s="650">
        <v>7</v>
      </c>
      <c r="J98" s="650">
        <v>8</v>
      </c>
      <c r="K98" s="650">
        <v>9</v>
      </c>
      <c r="L98" s="650">
        <v>10</v>
      </c>
      <c r="M98" s="650">
        <v>11</v>
      </c>
      <c r="N98" s="650">
        <v>12</v>
      </c>
      <c r="O98" s="650">
        <v>13</v>
      </c>
      <c r="P98" s="650">
        <v>14</v>
      </c>
      <c r="Q98" s="650">
        <v>15</v>
      </c>
      <c r="R98" s="650" t="s">
        <v>491</v>
      </c>
      <c r="S98" s="649"/>
    </row>
    <row r="99" spans="2:19" x14ac:dyDescent="0.3">
      <c r="B99" s="649">
        <v>1</v>
      </c>
      <c r="C99" s="650">
        <v>176265</v>
      </c>
      <c r="D99" s="650">
        <v>36878</v>
      </c>
      <c r="E99" s="650">
        <v>16126</v>
      </c>
      <c r="F99" s="650">
        <v>37710</v>
      </c>
      <c r="G99" s="650">
        <v>34284</v>
      </c>
      <c r="H99" s="650">
        <v>56023</v>
      </c>
      <c r="I99" s="650">
        <v>6109</v>
      </c>
      <c r="J99" s="650">
        <v>111047</v>
      </c>
      <c r="K99" s="650">
        <v>91545</v>
      </c>
      <c r="L99" s="650">
        <v>63125</v>
      </c>
      <c r="M99" s="650">
        <v>1790</v>
      </c>
      <c r="N99" s="650">
        <v>2347</v>
      </c>
      <c r="O99" s="650">
        <v>52359</v>
      </c>
      <c r="P99" s="650">
        <v>73400</v>
      </c>
      <c r="Q99" s="649">
        <v>207760</v>
      </c>
      <c r="R99" s="649">
        <v>966768</v>
      </c>
      <c r="S99" s="649"/>
    </row>
    <row r="100" spans="2:19" x14ac:dyDescent="0.3">
      <c r="B100" s="649">
        <v>2</v>
      </c>
      <c r="C100" s="650">
        <v>258421</v>
      </c>
      <c r="D100" s="650">
        <v>15610</v>
      </c>
      <c r="E100" s="650">
        <v>2426</v>
      </c>
      <c r="F100" s="650">
        <v>13504</v>
      </c>
      <c r="G100" s="650">
        <v>44068</v>
      </c>
      <c r="H100" s="650">
        <v>58263</v>
      </c>
      <c r="I100" s="650">
        <v>1806</v>
      </c>
      <c r="J100" s="650">
        <v>60183</v>
      </c>
      <c r="K100" s="650">
        <v>544388</v>
      </c>
      <c r="L100" s="650">
        <v>139209</v>
      </c>
      <c r="M100" s="650">
        <v>4155</v>
      </c>
      <c r="N100" s="650">
        <v>151</v>
      </c>
      <c r="P100" s="650">
        <v>88728</v>
      </c>
      <c r="Q100" s="649">
        <v>217024</v>
      </c>
      <c r="R100" s="649">
        <v>1447937</v>
      </c>
      <c r="S100" s="649"/>
    </row>
    <row r="101" spans="2:19" x14ac:dyDescent="0.3">
      <c r="B101" s="649">
        <v>3</v>
      </c>
      <c r="C101" s="650">
        <v>89806</v>
      </c>
      <c r="D101" s="650">
        <v>31173</v>
      </c>
      <c r="E101" s="650">
        <v>54823</v>
      </c>
      <c r="F101" s="650">
        <v>65409</v>
      </c>
      <c r="G101" s="650">
        <v>114777</v>
      </c>
      <c r="H101" s="650">
        <v>113310</v>
      </c>
      <c r="I101" s="650">
        <v>53249</v>
      </c>
      <c r="J101" s="650">
        <v>133675</v>
      </c>
      <c r="K101" s="650">
        <v>351893</v>
      </c>
      <c r="L101" s="650">
        <v>187266</v>
      </c>
      <c r="M101" s="650">
        <v>23513</v>
      </c>
      <c r="N101" s="650">
        <v>125904</v>
      </c>
      <c r="O101" s="650">
        <v>664306</v>
      </c>
      <c r="P101" s="650">
        <v>408204</v>
      </c>
      <c r="Q101" s="649">
        <v>226760</v>
      </c>
      <c r="R101" s="649">
        <v>2644068</v>
      </c>
      <c r="S101" s="649"/>
    </row>
    <row r="102" spans="2:19" x14ac:dyDescent="0.3">
      <c r="B102" s="649">
        <v>4</v>
      </c>
      <c r="C102" s="650">
        <v>76925</v>
      </c>
      <c r="D102" s="650">
        <v>4817</v>
      </c>
      <c r="E102" s="650">
        <v>1532</v>
      </c>
      <c r="F102" s="650">
        <v>17488</v>
      </c>
      <c r="G102" s="650">
        <v>63478</v>
      </c>
      <c r="H102" s="650">
        <v>68520</v>
      </c>
      <c r="I102" s="650">
        <v>11588</v>
      </c>
      <c r="J102" s="650">
        <v>74454</v>
      </c>
      <c r="K102" s="650">
        <v>483599</v>
      </c>
      <c r="L102" s="650">
        <v>203666</v>
      </c>
      <c r="M102" s="650">
        <v>10681</v>
      </c>
      <c r="N102" s="650">
        <v>44126</v>
      </c>
      <c r="P102" s="649">
        <v>236259</v>
      </c>
      <c r="Q102" s="649">
        <v>125348</v>
      </c>
      <c r="R102" s="649">
        <v>1422481</v>
      </c>
      <c r="S102" s="649"/>
    </row>
    <row r="103" spans="2:19" x14ac:dyDescent="0.3">
      <c r="B103" s="649">
        <v>5</v>
      </c>
      <c r="C103" s="650">
        <v>1853334</v>
      </c>
      <c r="D103" s="650">
        <v>16625</v>
      </c>
      <c r="E103" s="650">
        <v>18027</v>
      </c>
      <c r="F103" s="650">
        <v>15780</v>
      </c>
      <c r="G103" s="650">
        <v>72112</v>
      </c>
      <c r="H103" s="650">
        <v>31860</v>
      </c>
      <c r="I103" s="650">
        <v>872</v>
      </c>
      <c r="J103" s="650">
        <v>38539</v>
      </c>
      <c r="K103" s="650">
        <v>188103</v>
      </c>
      <c r="L103" s="650">
        <v>32301</v>
      </c>
      <c r="M103" s="650">
        <v>1875</v>
      </c>
      <c r="N103" s="650">
        <v>213</v>
      </c>
      <c r="O103" s="650">
        <v>29532</v>
      </c>
      <c r="P103" s="649">
        <v>17855</v>
      </c>
      <c r="Q103" s="649">
        <v>95476</v>
      </c>
      <c r="R103" s="649">
        <v>2412505</v>
      </c>
      <c r="S103" s="649"/>
    </row>
    <row r="104" spans="2:19" x14ac:dyDescent="0.3">
      <c r="B104" s="649">
        <v>6</v>
      </c>
      <c r="C104" s="650">
        <v>235188</v>
      </c>
      <c r="D104" s="650">
        <v>6781</v>
      </c>
      <c r="E104" s="650">
        <v>6869</v>
      </c>
      <c r="F104" s="650">
        <v>10126</v>
      </c>
      <c r="G104" s="650">
        <v>11326</v>
      </c>
      <c r="H104" s="650">
        <v>9144</v>
      </c>
      <c r="I104" s="650">
        <v>279</v>
      </c>
      <c r="J104" s="650">
        <v>15792</v>
      </c>
      <c r="K104" s="650">
        <v>54899</v>
      </c>
      <c r="L104" s="650">
        <v>30300</v>
      </c>
      <c r="M104" s="650">
        <v>1491</v>
      </c>
      <c r="N104" s="650">
        <v>4696</v>
      </c>
      <c r="O104" s="650">
        <v>108064</v>
      </c>
      <c r="P104" s="649">
        <v>22559</v>
      </c>
      <c r="Q104" s="649">
        <v>28373</v>
      </c>
      <c r="R104" s="649">
        <v>545888</v>
      </c>
      <c r="S104" s="649"/>
    </row>
    <row r="105" spans="2:19" x14ac:dyDescent="0.3">
      <c r="B105" s="649" t="s">
        <v>491</v>
      </c>
      <c r="C105" s="650">
        <v>2689939</v>
      </c>
      <c r="D105" s="650">
        <v>111884</v>
      </c>
      <c r="E105" s="650">
        <v>99803</v>
      </c>
      <c r="F105" s="650">
        <v>160017</v>
      </c>
      <c r="G105" s="650">
        <v>340045</v>
      </c>
      <c r="H105" s="650">
        <v>337119</v>
      </c>
      <c r="I105" s="650">
        <v>73904</v>
      </c>
      <c r="J105" s="650">
        <v>433691</v>
      </c>
      <c r="K105" s="650">
        <v>1714427</v>
      </c>
      <c r="L105" s="650">
        <v>655867</v>
      </c>
      <c r="M105" s="650">
        <v>43506</v>
      </c>
      <c r="N105" s="650">
        <v>177438</v>
      </c>
      <c r="O105" s="650">
        <v>854262</v>
      </c>
      <c r="P105" s="649">
        <v>847005</v>
      </c>
      <c r="Q105" s="649">
        <v>900741</v>
      </c>
      <c r="R105" s="649">
        <v>9439647</v>
      </c>
      <c r="S105" s="649"/>
    </row>
    <row r="106" spans="2:19" x14ac:dyDescent="0.3">
      <c r="J106" s="650"/>
      <c r="K106" s="650"/>
      <c r="P106" s="649"/>
      <c r="Q106" s="649"/>
      <c r="R106" s="649"/>
      <c r="S106" s="649"/>
    </row>
    <row r="107" spans="2:19" x14ac:dyDescent="0.3">
      <c r="B107" s="649" t="s">
        <v>965</v>
      </c>
      <c r="J107" s="650"/>
      <c r="K107" s="650"/>
      <c r="P107" s="649"/>
      <c r="Q107" s="649"/>
      <c r="R107" s="649"/>
      <c r="S107" s="649"/>
    </row>
    <row r="108" spans="2:19" x14ac:dyDescent="0.3">
      <c r="C108" s="650">
        <v>1</v>
      </c>
      <c r="D108" s="650">
        <v>2</v>
      </c>
      <c r="E108" s="650">
        <v>3</v>
      </c>
      <c r="F108" s="650">
        <v>4</v>
      </c>
      <c r="G108" s="650">
        <v>5</v>
      </c>
      <c r="H108" s="650">
        <v>6</v>
      </c>
      <c r="I108" s="650">
        <v>7</v>
      </c>
      <c r="J108" s="650">
        <v>8</v>
      </c>
      <c r="K108" s="650">
        <v>9</v>
      </c>
      <c r="L108" s="650">
        <v>10</v>
      </c>
      <c r="M108" s="650">
        <v>11</v>
      </c>
      <c r="N108" s="650">
        <v>12</v>
      </c>
      <c r="O108" s="650">
        <v>13</v>
      </c>
      <c r="P108" s="650">
        <v>14</v>
      </c>
      <c r="Q108" s="650">
        <v>15</v>
      </c>
      <c r="R108" s="650" t="s">
        <v>491</v>
      </c>
      <c r="S108" s="649"/>
    </row>
    <row r="109" spans="2:19" x14ac:dyDescent="0.3">
      <c r="B109" s="649">
        <v>1</v>
      </c>
      <c r="C109" s="650">
        <v>712464702.52999997</v>
      </c>
      <c r="D109" s="650">
        <v>333270344.38999999</v>
      </c>
      <c r="E109" s="650">
        <v>293736337.38999999</v>
      </c>
      <c r="F109" s="650">
        <v>275568083.67000002</v>
      </c>
      <c r="G109" s="650">
        <v>220800359.44</v>
      </c>
      <c r="H109" s="650">
        <v>326947625.50999999</v>
      </c>
      <c r="I109" s="650">
        <v>49827948.079999998</v>
      </c>
      <c r="J109" s="650">
        <v>741985454.96000004</v>
      </c>
      <c r="K109" s="650">
        <v>476086356.57999998</v>
      </c>
      <c r="L109" s="650">
        <v>449160491.94999999</v>
      </c>
      <c r="M109" s="650">
        <v>13366365.439999999</v>
      </c>
      <c r="N109" s="650">
        <v>14861155.550000001</v>
      </c>
      <c r="O109" s="650">
        <v>428950378.23000002</v>
      </c>
      <c r="P109" s="649">
        <v>574523171.22000003</v>
      </c>
      <c r="Q109" s="649">
        <v>995083764.78999996</v>
      </c>
      <c r="R109" s="649">
        <v>5906632539.7200003</v>
      </c>
      <c r="S109" s="649"/>
    </row>
    <row r="110" spans="2:19" x14ac:dyDescent="0.3">
      <c r="B110" s="649">
        <v>2</v>
      </c>
      <c r="C110" s="650">
        <v>734189247.13999999</v>
      </c>
      <c r="D110" s="650">
        <v>163628282.5</v>
      </c>
      <c r="E110" s="650">
        <v>10276129.98</v>
      </c>
      <c r="F110" s="650">
        <v>114116094.36</v>
      </c>
      <c r="G110" s="650">
        <v>176029711.90000001</v>
      </c>
      <c r="H110" s="650">
        <v>509576103.26999998</v>
      </c>
      <c r="I110" s="650">
        <v>8246638.3099999996</v>
      </c>
      <c r="J110" s="650">
        <v>500382973.85000002</v>
      </c>
      <c r="K110" s="650">
        <v>3143309840.2800002</v>
      </c>
      <c r="L110" s="650">
        <v>989288982.79999995</v>
      </c>
      <c r="M110" s="650">
        <v>13967739.5</v>
      </c>
      <c r="N110" s="650">
        <v>99844.05</v>
      </c>
      <c r="P110" s="649">
        <v>480397257.73000002</v>
      </c>
      <c r="Q110" s="649">
        <v>1224472299.46</v>
      </c>
      <c r="R110" s="649">
        <v>8067981145.1300001</v>
      </c>
      <c r="S110" s="649"/>
    </row>
    <row r="111" spans="2:19" x14ac:dyDescent="0.3">
      <c r="B111" s="649">
        <v>3</v>
      </c>
      <c r="C111" s="650">
        <v>542275029.24000001</v>
      </c>
      <c r="D111" s="650">
        <v>774486948.20000005</v>
      </c>
      <c r="E111" s="650">
        <v>2415810556.4099998</v>
      </c>
      <c r="F111" s="650">
        <v>2000416610.8599999</v>
      </c>
      <c r="G111" s="650">
        <v>1161547242.3599999</v>
      </c>
      <c r="H111" s="650">
        <v>2090699722.29</v>
      </c>
      <c r="I111" s="650">
        <v>950290604.09000003</v>
      </c>
      <c r="J111" s="650">
        <v>3070848573.0999999</v>
      </c>
      <c r="K111" s="650">
        <v>3755326158.21</v>
      </c>
      <c r="L111" s="650">
        <v>2869770658.4699998</v>
      </c>
      <c r="M111" s="650">
        <v>330891306.07999998</v>
      </c>
      <c r="N111" s="650">
        <v>1899405096.79</v>
      </c>
      <c r="O111" s="650">
        <v>10183040103.559999</v>
      </c>
      <c r="P111" s="649">
        <v>6560898346.8599997</v>
      </c>
      <c r="Q111" s="649">
        <v>1957041546.4200001</v>
      </c>
      <c r="R111" s="649">
        <v>40562748502.940002</v>
      </c>
      <c r="S111" s="649"/>
    </row>
    <row r="112" spans="2:19" x14ac:dyDescent="0.3">
      <c r="B112" s="649">
        <v>4</v>
      </c>
      <c r="C112" s="650">
        <v>447274199.72000003</v>
      </c>
      <c r="D112" s="650">
        <v>42957745.340000004</v>
      </c>
      <c r="E112" s="650">
        <v>23219896.5</v>
      </c>
      <c r="F112" s="650">
        <v>197651695.72999999</v>
      </c>
      <c r="G112" s="650">
        <v>400410266.27999997</v>
      </c>
      <c r="H112" s="650">
        <v>703343841.11000001</v>
      </c>
      <c r="I112" s="650">
        <v>214710876.52000001</v>
      </c>
      <c r="J112" s="650">
        <v>1330072479.53</v>
      </c>
      <c r="K112" s="650">
        <v>4236796923.5900002</v>
      </c>
      <c r="L112" s="650">
        <v>2006862145.77</v>
      </c>
      <c r="M112" s="650">
        <v>162058018.58000001</v>
      </c>
      <c r="N112" s="650">
        <v>252414294.68000001</v>
      </c>
      <c r="P112" s="649">
        <v>4486439980.1199999</v>
      </c>
      <c r="Q112" s="649">
        <v>1436660171.24</v>
      </c>
      <c r="R112" s="649">
        <v>15940872534.709999</v>
      </c>
      <c r="S112" s="649"/>
    </row>
    <row r="113" spans="2:19" x14ac:dyDescent="0.3">
      <c r="B113" s="649">
        <v>5</v>
      </c>
      <c r="C113" s="650">
        <v>4908102100</v>
      </c>
      <c r="D113" s="650">
        <v>61527914.259999998</v>
      </c>
      <c r="E113" s="650">
        <v>133054902.33</v>
      </c>
      <c r="F113" s="650">
        <v>62245611.439999998</v>
      </c>
      <c r="G113" s="650">
        <v>78995437.640000001</v>
      </c>
      <c r="H113" s="650">
        <v>117850874.90000001</v>
      </c>
      <c r="I113" s="650">
        <v>3681059.98</v>
      </c>
      <c r="J113" s="650">
        <v>196885069.40000001</v>
      </c>
      <c r="K113" s="650">
        <v>559549278.97000003</v>
      </c>
      <c r="L113" s="650">
        <v>156637233.90000001</v>
      </c>
      <c r="M113" s="650">
        <v>2740479.06</v>
      </c>
      <c r="N113" s="650">
        <v>121594.45</v>
      </c>
      <c r="O113" s="650">
        <v>193275579.13</v>
      </c>
      <c r="P113" s="649">
        <v>85529794.090000004</v>
      </c>
      <c r="Q113" s="649">
        <v>322717953.19</v>
      </c>
      <c r="R113" s="649">
        <v>6882914882.7399998</v>
      </c>
      <c r="S113" s="649"/>
    </row>
    <row r="114" spans="2:19" x14ac:dyDescent="0.3">
      <c r="B114" s="649">
        <v>6</v>
      </c>
      <c r="C114" s="650">
        <v>919824981.77999997</v>
      </c>
      <c r="D114" s="650">
        <v>48727594.369999997</v>
      </c>
      <c r="E114" s="650">
        <v>93965509.200000003</v>
      </c>
      <c r="F114" s="650">
        <v>87719602.909999996</v>
      </c>
      <c r="G114" s="650">
        <v>26760257.760000002</v>
      </c>
      <c r="H114" s="650">
        <v>37744232.030000001</v>
      </c>
      <c r="I114" s="650">
        <v>590057.62</v>
      </c>
      <c r="J114" s="650">
        <v>101525711.36</v>
      </c>
      <c r="K114" s="650">
        <v>299134865.44999999</v>
      </c>
      <c r="L114" s="650">
        <v>188547523.69999999</v>
      </c>
      <c r="M114" s="650">
        <v>7800908.5499999998</v>
      </c>
      <c r="N114" s="650">
        <v>17059346.379999999</v>
      </c>
      <c r="O114" s="650">
        <v>1112015256.8399999</v>
      </c>
      <c r="P114" s="649">
        <v>251291122.74000001</v>
      </c>
      <c r="Q114" s="649">
        <v>124375094.11</v>
      </c>
      <c r="R114" s="649">
        <v>3317082064.79</v>
      </c>
      <c r="S114" s="649"/>
    </row>
    <row r="115" spans="2:19" x14ac:dyDescent="0.3">
      <c r="B115" s="649" t="s">
        <v>491</v>
      </c>
      <c r="C115" s="650">
        <v>8264130260.4300003</v>
      </c>
      <c r="D115" s="650">
        <v>1424598829.05</v>
      </c>
      <c r="E115" s="650">
        <v>2970063331.8099999</v>
      </c>
      <c r="F115" s="650">
        <v>2737717698.9699998</v>
      </c>
      <c r="G115" s="650">
        <v>2064543275.3800001</v>
      </c>
      <c r="H115" s="650">
        <v>3786162399.1100001</v>
      </c>
      <c r="I115" s="649">
        <v>1227347184.5999999</v>
      </c>
      <c r="J115" s="650">
        <v>5941700262.1999998</v>
      </c>
      <c r="K115" s="650">
        <v>12470203423.07</v>
      </c>
      <c r="L115" s="650">
        <v>6660267036.6000004</v>
      </c>
      <c r="M115" s="650">
        <v>530824817.20999998</v>
      </c>
      <c r="N115" s="650">
        <v>2183961331.9000001</v>
      </c>
      <c r="O115" s="650">
        <v>11917281317.76</v>
      </c>
      <c r="P115" s="649">
        <v>12439079672.76</v>
      </c>
      <c r="Q115" s="649">
        <v>6060350829.2200003</v>
      </c>
      <c r="R115" s="649">
        <v>80678231670.039993</v>
      </c>
      <c r="S115" s="649"/>
    </row>
    <row r="116" spans="2:19" x14ac:dyDescent="0.3">
      <c r="I116" s="649"/>
      <c r="J116" s="650"/>
      <c r="K116" s="650"/>
      <c r="P116" s="649"/>
      <c r="Q116" s="649"/>
      <c r="R116" s="649"/>
      <c r="S116" s="649"/>
    </row>
    <row r="117" spans="2:19" x14ac:dyDescent="0.3">
      <c r="B117" s="649" t="s">
        <v>966</v>
      </c>
      <c r="J117" s="650"/>
      <c r="K117" s="650"/>
      <c r="P117" s="649"/>
      <c r="Q117" s="649"/>
      <c r="R117" s="649"/>
      <c r="S117" s="649"/>
    </row>
    <row r="118" spans="2:19" x14ac:dyDescent="0.3">
      <c r="C118" s="650">
        <v>1</v>
      </c>
      <c r="D118" s="650">
        <v>2</v>
      </c>
      <c r="E118" s="650">
        <v>3</v>
      </c>
      <c r="F118" s="650">
        <v>4</v>
      </c>
      <c r="G118" s="650">
        <v>5</v>
      </c>
      <c r="H118" s="650">
        <v>6</v>
      </c>
      <c r="I118" s="650">
        <v>7</v>
      </c>
      <c r="J118" s="650">
        <v>8</v>
      </c>
      <c r="K118" s="650">
        <v>9</v>
      </c>
      <c r="L118" s="650">
        <v>10</v>
      </c>
      <c r="M118" s="650">
        <v>11</v>
      </c>
      <c r="N118" s="650">
        <v>12</v>
      </c>
      <c r="O118" s="650">
        <v>13</v>
      </c>
      <c r="P118" s="650">
        <v>14</v>
      </c>
      <c r="Q118" s="650">
        <v>15</v>
      </c>
      <c r="R118" s="650" t="s">
        <v>491</v>
      </c>
      <c r="S118" s="649"/>
    </row>
    <row r="119" spans="2:19" x14ac:dyDescent="0.3">
      <c r="B119" s="649">
        <v>1</v>
      </c>
      <c r="C119" s="650">
        <v>669658581.04999995</v>
      </c>
      <c r="D119" s="650">
        <v>330949562.19999999</v>
      </c>
      <c r="E119" s="650">
        <v>293505484.39999998</v>
      </c>
      <c r="F119" s="650">
        <v>273134969.67000002</v>
      </c>
      <c r="G119" s="650">
        <v>215408331.47999999</v>
      </c>
      <c r="H119" s="650">
        <v>324992376.19999999</v>
      </c>
      <c r="I119" s="650">
        <v>49827948.079999998</v>
      </c>
      <c r="J119" s="649">
        <v>735150717.82000005</v>
      </c>
      <c r="K119" s="650">
        <v>464005947.98000002</v>
      </c>
      <c r="L119" s="650">
        <v>443445151.47000003</v>
      </c>
      <c r="M119" s="650">
        <v>12202861.27</v>
      </c>
      <c r="N119" s="650">
        <v>14588369.51</v>
      </c>
      <c r="O119" s="650">
        <v>410462592.11000001</v>
      </c>
      <c r="P119" s="650">
        <v>559458527.16999996</v>
      </c>
      <c r="Q119" s="649">
        <v>961038312.21000004</v>
      </c>
      <c r="R119" s="649">
        <v>5757829732.5900002</v>
      </c>
      <c r="S119" s="649"/>
    </row>
    <row r="120" spans="2:19" x14ac:dyDescent="0.3">
      <c r="B120" s="649">
        <v>2</v>
      </c>
      <c r="C120" s="650">
        <v>33761738.329999998</v>
      </c>
      <c r="D120" s="650">
        <v>615881.97</v>
      </c>
      <c r="E120" s="650">
        <v>0</v>
      </c>
      <c r="F120" s="650">
        <v>0</v>
      </c>
      <c r="G120" s="650">
        <v>1049566.3500000001</v>
      </c>
      <c r="H120" s="650">
        <v>3664127.08</v>
      </c>
      <c r="I120" s="650">
        <v>0</v>
      </c>
      <c r="J120" s="649">
        <v>492290.73</v>
      </c>
      <c r="K120" s="650">
        <v>45576580.670000002</v>
      </c>
      <c r="L120" s="650">
        <v>7779196.6900000004</v>
      </c>
      <c r="M120" s="650">
        <v>0</v>
      </c>
      <c r="N120" s="650">
        <v>0</v>
      </c>
      <c r="P120" s="650">
        <v>3325137.54</v>
      </c>
      <c r="Q120" s="649">
        <v>12560634.279999999</v>
      </c>
      <c r="R120" s="649">
        <v>108825153.65000001</v>
      </c>
      <c r="S120" s="649"/>
    </row>
    <row r="121" spans="2:19" x14ac:dyDescent="0.3">
      <c r="B121" s="649">
        <v>3</v>
      </c>
      <c r="C121" s="650">
        <v>523656880.38999999</v>
      </c>
      <c r="D121" s="650">
        <v>752490192.83000004</v>
      </c>
      <c r="E121" s="650">
        <v>2412917014.3899999</v>
      </c>
      <c r="F121" s="650">
        <v>1974452310.3599999</v>
      </c>
      <c r="G121" s="650">
        <v>1150205646.3199999</v>
      </c>
      <c r="H121" s="650">
        <v>2042703750.1300001</v>
      </c>
      <c r="I121" s="650">
        <v>947607050.53999996</v>
      </c>
      <c r="J121" s="649">
        <v>2861085350.3899999</v>
      </c>
      <c r="K121" s="650">
        <v>3695295924.79</v>
      </c>
      <c r="L121" s="650">
        <v>2810379326.6799998</v>
      </c>
      <c r="M121" s="650">
        <v>287503641.70999998</v>
      </c>
      <c r="N121" s="650">
        <v>1842439882.1800001</v>
      </c>
      <c r="O121" s="650">
        <v>9627716729.4899998</v>
      </c>
      <c r="P121" s="650">
        <v>6434273316.6000004</v>
      </c>
      <c r="Q121" s="649">
        <v>1781683088.6800001</v>
      </c>
      <c r="R121" s="649">
        <v>39144410105.489998</v>
      </c>
      <c r="S121" s="649"/>
    </row>
    <row r="122" spans="2:19" x14ac:dyDescent="0.3">
      <c r="B122" s="649">
        <v>4</v>
      </c>
      <c r="C122" s="650">
        <v>20694254.809999999</v>
      </c>
      <c r="D122" s="650">
        <v>0</v>
      </c>
      <c r="E122" s="650">
        <v>0</v>
      </c>
      <c r="F122" s="650">
        <v>0</v>
      </c>
      <c r="G122" s="650">
        <v>1429423.85</v>
      </c>
      <c r="H122" s="650">
        <v>6499017.79</v>
      </c>
      <c r="I122" s="650">
        <v>0</v>
      </c>
      <c r="J122" s="649">
        <v>3952726.26</v>
      </c>
      <c r="K122" s="650">
        <v>36776060.240000002</v>
      </c>
      <c r="L122" s="650">
        <v>14175569.4</v>
      </c>
      <c r="M122" s="650">
        <v>30038579.300000001</v>
      </c>
      <c r="N122" s="650">
        <v>10229978.810000001</v>
      </c>
      <c r="P122" s="650">
        <v>151509431.19999999</v>
      </c>
      <c r="Q122" s="649">
        <v>6466656.75</v>
      </c>
      <c r="R122" s="649">
        <v>281771698.42000002</v>
      </c>
      <c r="S122" s="649"/>
    </row>
    <row r="123" spans="2:19" x14ac:dyDescent="0.3">
      <c r="B123" s="649">
        <v>5</v>
      </c>
      <c r="C123" s="650">
        <v>1190088874.46</v>
      </c>
      <c r="D123" s="650">
        <v>14526339.130000001</v>
      </c>
      <c r="E123" s="650">
        <v>111272179.12</v>
      </c>
      <c r="F123" s="650">
        <v>39486529.950000003</v>
      </c>
      <c r="G123" s="650">
        <v>12814065.859999999</v>
      </c>
      <c r="H123" s="650">
        <v>37932294.539999999</v>
      </c>
      <c r="I123" s="650">
        <v>103577.25</v>
      </c>
      <c r="J123" s="649">
        <v>125862414.25</v>
      </c>
      <c r="K123" s="650">
        <v>53534980.689999998</v>
      </c>
      <c r="L123" s="650">
        <v>56544386.170000002</v>
      </c>
      <c r="M123" s="650">
        <v>0</v>
      </c>
      <c r="N123" s="650">
        <v>121594.45</v>
      </c>
      <c r="O123" s="650">
        <v>161041742.59</v>
      </c>
      <c r="P123" s="650">
        <v>62861176.719999999</v>
      </c>
      <c r="Q123" s="649">
        <v>160299537.47999999</v>
      </c>
      <c r="R123" s="649">
        <v>2026489692.6500001</v>
      </c>
      <c r="S123" s="649"/>
    </row>
    <row r="124" spans="2:19" x14ac:dyDescent="0.3">
      <c r="B124" s="649">
        <v>6</v>
      </c>
      <c r="C124" s="650">
        <v>338303698.01999998</v>
      </c>
      <c r="D124" s="650">
        <v>24706344.34</v>
      </c>
      <c r="E124" s="650">
        <v>90640190.569999993</v>
      </c>
      <c r="F124" s="650">
        <v>55575999.829999998</v>
      </c>
      <c r="G124" s="650">
        <v>15985241.789999999</v>
      </c>
      <c r="H124" s="650">
        <v>19620124.859999999</v>
      </c>
      <c r="I124" s="650">
        <v>312475.48</v>
      </c>
      <c r="J124" s="649">
        <v>83321170.140000001</v>
      </c>
      <c r="K124" s="650">
        <v>44482723.710000001</v>
      </c>
      <c r="L124" s="650">
        <v>54439409.259999998</v>
      </c>
      <c r="M124" s="650">
        <v>4854041.87</v>
      </c>
      <c r="N124" s="650">
        <v>13681844.84</v>
      </c>
      <c r="O124" s="650">
        <v>1044578781.26</v>
      </c>
      <c r="P124" s="650">
        <v>219150079.83000001</v>
      </c>
      <c r="Q124" s="649">
        <v>68376209.840000004</v>
      </c>
      <c r="R124" s="649">
        <v>2078028335.6500001</v>
      </c>
      <c r="S124" s="649"/>
    </row>
    <row r="125" spans="2:19" x14ac:dyDescent="0.3">
      <c r="B125" s="649" t="s">
        <v>491</v>
      </c>
      <c r="C125" s="650">
        <v>2776164027.0599999</v>
      </c>
      <c r="D125" s="650">
        <v>1123288320.47</v>
      </c>
      <c r="E125" s="650">
        <v>2908334868.4699998</v>
      </c>
      <c r="F125" s="650">
        <v>2342649809.8099999</v>
      </c>
      <c r="G125" s="650">
        <v>1396892275.6600001</v>
      </c>
      <c r="H125" s="650">
        <v>2435411690.5999999</v>
      </c>
      <c r="I125" s="650">
        <v>997851051.34000003</v>
      </c>
      <c r="J125" s="649">
        <v>3809864669.5900002</v>
      </c>
      <c r="K125" s="650">
        <v>4339672218.0799999</v>
      </c>
      <c r="L125" s="650">
        <v>3386763039.6700001</v>
      </c>
      <c r="M125" s="650">
        <v>334599124.14999998</v>
      </c>
      <c r="N125" s="650">
        <v>1881061669.79</v>
      </c>
      <c r="O125" s="650">
        <v>11243799845.450001</v>
      </c>
      <c r="P125" s="650">
        <v>7430577669.0699997</v>
      </c>
      <c r="Q125" s="649">
        <v>2990424439.2399998</v>
      </c>
      <c r="R125" s="649">
        <v>49397354718.449997</v>
      </c>
      <c r="S125" s="649"/>
    </row>
    <row r="126" spans="2:19" x14ac:dyDescent="0.3">
      <c r="I126" s="649"/>
      <c r="K126" s="650"/>
      <c r="S126" s="649"/>
    </row>
    <row r="127" spans="2:19" x14ac:dyDescent="0.3">
      <c r="B127" s="649" t="s">
        <v>968</v>
      </c>
      <c r="I127" s="649"/>
      <c r="K127" s="650"/>
      <c r="S127" s="649"/>
    </row>
    <row r="128" spans="2:19" x14ac:dyDescent="0.3">
      <c r="B128" s="649">
        <v>1</v>
      </c>
      <c r="C128" s="650">
        <v>261059</v>
      </c>
      <c r="D128" s="650">
        <v>37335</v>
      </c>
      <c r="E128" s="650">
        <v>16126</v>
      </c>
      <c r="F128" s="650">
        <v>45533</v>
      </c>
      <c r="G128" s="650">
        <v>39700</v>
      </c>
      <c r="H128" s="650">
        <v>66336</v>
      </c>
      <c r="I128" s="649">
        <v>6381</v>
      </c>
      <c r="J128" s="650">
        <v>112547</v>
      </c>
      <c r="K128" s="650">
        <v>179223</v>
      </c>
      <c r="L128" s="650">
        <v>63402</v>
      </c>
      <c r="M128" s="650">
        <v>1790</v>
      </c>
      <c r="N128" s="650">
        <v>2347</v>
      </c>
      <c r="O128" s="650">
        <v>52359</v>
      </c>
      <c r="P128" s="650">
        <v>76667</v>
      </c>
      <c r="Q128" s="649">
        <v>245752</v>
      </c>
      <c r="R128" s="649">
        <v>1206558</v>
      </c>
      <c r="S128" s="649"/>
    </row>
    <row r="129" spans="2:19" x14ac:dyDescent="0.3">
      <c r="B129" s="649">
        <v>2</v>
      </c>
      <c r="C129" s="650">
        <v>258421</v>
      </c>
      <c r="D129" s="650">
        <v>15610</v>
      </c>
      <c r="E129" s="650">
        <v>2426</v>
      </c>
      <c r="F129" s="650">
        <v>13504</v>
      </c>
      <c r="G129" s="650">
        <v>44068</v>
      </c>
      <c r="H129" s="650">
        <v>58263</v>
      </c>
      <c r="I129" s="649">
        <v>1806</v>
      </c>
      <c r="J129" s="650">
        <v>60183</v>
      </c>
      <c r="K129" s="650">
        <v>544388</v>
      </c>
      <c r="L129" s="650">
        <v>139209</v>
      </c>
      <c r="M129" s="650">
        <v>4155</v>
      </c>
      <c r="N129" s="650">
        <v>151</v>
      </c>
      <c r="P129" s="650">
        <v>88728</v>
      </c>
      <c r="Q129" s="649">
        <v>217024</v>
      </c>
      <c r="R129" s="649">
        <v>1447937</v>
      </c>
      <c r="S129" s="649"/>
    </row>
    <row r="130" spans="2:19" x14ac:dyDescent="0.3">
      <c r="B130" s="649">
        <v>3</v>
      </c>
      <c r="C130" s="650">
        <v>126838</v>
      </c>
      <c r="D130" s="650">
        <v>33647</v>
      </c>
      <c r="E130" s="650">
        <v>54856</v>
      </c>
      <c r="F130" s="650">
        <v>71450</v>
      </c>
      <c r="G130" s="650">
        <v>125564</v>
      </c>
      <c r="H130" s="650">
        <v>123131</v>
      </c>
      <c r="I130" s="649">
        <v>55884</v>
      </c>
      <c r="J130" s="650">
        <v>135213</v>
      </c>
      <c r="K130" s="650">
        <v>445066</v>
      </c>
      <c r="L130" s="650">
        <v>190096</v>
      </c>
      <c r="M130" s="650">
        <v>24400</v>
      </c>
      <c r="N130" s="650">
        <v>127508</v>
      </c>
      <c r="O130" s="650">
        <v>666899</v>
      </c>
      <c r="P130" s="650">
        <v>422617</v>
      </c>
      <c r="Q130" s="649">
        <v>263325</v>
      </c>
      <c r="R130" s="649">
        <v>2866495</v>
      </c>
      <c r="S130" s="649"/>
    </row>
    <row r="131" spans="2:19" x14ac:dyDescent="0.3">
      <c r="B131" s="649">
        <v>4</v>
      </c>
      <c r="C131" s="650">
        <v>76925</v>
      </c>
      <c r="D131" s="650">
        <v>4817</v>
      </c>
      <c r="E131" s="650">
        <v>1532</v>
      </c>
      <c r="F131" s="650">
        <v>17488</v>
      </c>
      <c r="G131" s="650">
        <v>63478</v>
      </c>
      <c r="H131" s="650">
        <v>68520</v>
      </c>
      <c r="I131" s="649">
        <v>11588</v>
      </c>
      <c r="J131" s="650">
        <v>74454</v>
      </c>
      <c r="K131" s="650">
        <v>483599</v>
      </c>
      <c r="L131" s="650">
        <v>203666</v>
      </c>
      <c r="M131" s="650">
        <v>10681</v>
      </c>
      <c r="N131" s="650">
        <v>44126</v>
      </c>
      <c r="P131" s="650">
        <v>236259</v>
      </c>
      <c r="Q131" s="649">
        <v>125348</v>
      </c>
      <c r="R131" s="649">
        <v>1422481</v>
      </c>
      <c r="S131" s="649"/>
    </row>
    <row r="132" spans="2:19" x14ac:dyDescent="0.3">
      <c r="B132" s="649">
        <v>5</v>
      </c>
      <c r="C132" s="650">
        <v>2843708</v>
      </c>
      <c r="D132" s="650">
        <v>18332</v>
      </c>
      <c r="E132" s="650">
        <v>18312</v>
      </c>
      <c r="F132" s="650">
        <v>19547</v>
      </c>
      <c r="G132" s="650">
        <v>72516</v>
      </c>
      <c r="H132" s="650">
        <v>36714</v>
      </c>
      <c r="I132" s="649">
        <v>872</v>
      </c>
      <c r="J132" s="650">
        <v>38539</v>
      </c>
      <c r="K132" s="650">
        <v>212498</v>
      </c>
      <c r="L132" s="650">
        <v>33083</v>
      </c>
      <c r="M132" s="650">
        <v>1914</v>
      </c>
      <c r="N132" s="650">
        <v>213</v>
      </c>
      <c r="O132" s="650">
        <v>29532</v>
      </c>
      <c r="P132" s="650">
        <v>17906</v>
      </c>
      <c r="Q132" s="649">
        <v>99439</v>
      </c>
      <c r="R132" s="649">
        <v>3443126</v>
      </c>
      <c r="S132" s="649"/>
    </row>
    <row r="133" spans="2:19" x14ac:dyDescent="0.3">
      <c r="B133" s="649">
        <v>6</v>
      </c>
      <c r="C133" s="650">
        <v>340715</v>
      </c>
      <c r="D133" s="650">
        <v>7287</v>
      </c>
      <c r="E133" s="650">
        <v>6954</v>
      </c>
      <c r="F133" s="650">
        <v>11886</v>
      </c>
      <c r="G133" s="650">
        <v>11326</v>
      </c>
      <c r="H133" s="650">
        <v>10490</v>
      </c>
      <c r="I133" s="649">
        <v>279</v>
      </c>
      <c r="J133" s="650">
        <v>15792</v>
      </c>
      <c r="K133" s="650">
        <v>62554</v>
      </c>
      <c r="L133" s="650">
        <v>31196</v>
      </c>
      <c r="M133" s="650">
        <v>1491</v>
      </c>
      <c r="N133" s="650">
        <v>4696</v>
      </c>
      <c r="O133" s="650">
        <v>109274</v>
      </c>
      <c r="P133" s="650">
        <v>22737</v>
      </c>
      <c r="Q133" s="649">
        <v>31668</v>
      </c>
      <c r="R133" s="649">
        <v>668345</v>
      </c>
      <c r="S133" s="649"/>
    </row>
    <row r="134" spans="2:19" x14ac:dyDescent="0.3">
      <c r="B134" s="649" t="s">
        <v>491</v>
      </c>
      <c r="C134" s="650">
        <v>3907666</v>
      </c>
      <c r="D134" s="650">
        <v>117028</v>
      </c>
      <c r="E134" s="650">
        <v>100207</v>
      </c>
      <c r="F134" s="650">
        <v>179409</v>
      </c>
      <c r="G134" s="650">
        <v>356652</v>
      </c>
      <c r="H134" s="650">
        <v>363454</v>
      </c>
      <c r="I134" s="650">
        <v>76812</v>
      </c>
      <c r="J134" s="649">
        <v>436729</v>
      </c>
      <c r="K134" s="650">
        <v>1927327</v>
      </c>
      <c r="L134" s="650">
        <v>660652</v>
      </c>
      <c r="M134" s="650">
        <v>44431</v>
      </c>
      <c r="N134" s="650">
        <v>179042</v>
      </c>
      <c r="O134" s="650">
        <v>858065</v>
      </c>
      <c r="P134" s="650">
        <v>864915</v>
      </c>
      <c r="Q134" s="649">
        <v>982555</v>
      </c>
      <c r="R134" s="649">
        <v>11054942</v>
      </c>
      <c r="S134" s="649"/>
    </row>
    <row r="135" spans="2:19" x14ac:dyDescent="0.3">
      <c r="S135" s="649"/>
    </row>
    <row r="136" spans="2:19" x14ac:dyDescent="0.3">
      <c r="K136" s="650"/>
      <c r="Q136" s="649"/>
      <c r="R136" s="649"/>
      <c r="S136" s="649"/>
    </row>
    <row r="137" spans="2:19" x14ac:dyDescent="0.3">
      <c r="B137" s="649">
        <v>1</v>
      </c>
      <c r="C137" s="650">
        <v>669658581.04999995</v>
      </c>
      <c r="D137" s="650">
        <v>330949562.19999999</v>
      </c>
      <c r="E137" s="650">
        <v>293505484.39999998</v>
      </c>
      <c r="F137" s="650">
        <v>273134969.67000002</v>
      </c>
      <c r="G137" s="650">
        <v>215408331.47999999</v>
      </c>
      <c r="H137" s="650">
        <v>324992376.19999999</v>
      </c>
      <c r="I137" s="650">
        <v>49827948.079999998</v>
      </c>
      <c r="J137" s="649">
        <v>735150717.82000005</v>
      </c>
      <c r="K137" s="650">
        <v>464005947.98000002</v>
      </c>
      <c r="L137" s="650">
        <v>443445151.47000003</v>
      </c>
      <c r="M137" s="650">
        <v>12202861.27</v>
      </c>
      <c r="N137" s="650">
        <v>14588369.51</v>
      </c>
      <c r="O137" s="650">
        <v>410462592.11000001</v>
      </c>
      <c r="P137" s="650">
        <v>559458527.16999996</v>
      </c>
      <c r="Q137" s="649">
        <v>961038312.21000004</v>
      </c>
      <c r="R137" s="649">
        <v>5757829732.5900002</v>
      </c>
      <c r="S137" s="649"/>
    </row>
    <row r="138" spans="2:19" x14ac:dyDescent="0.3">
      <c r="B138" s="649">
        <v>2</v>
      </c>
      <c r="C138" s="650">
        <v>33761738.329999998</v>
      </c>
      <c r="D138" s="650">
        <v>615881.97</v>
      </c>
      <c r="E138" s="650">
        <v>0</v>
      </c>
      <c r="F138" s="650">
        <v>0</v>
      </c>
      <c r="G138" s="650">
        <v>1049566.3500000001</v>
      </c>
      <c r="H138" s="650">
        <v>3664127.08</v>
      </c>
      <c r="I138" s="650">
        <v>0</v>
      </c>
      <c r="J138" s="649">
        <v>492290.73</v>
      </c>
      <c r="K138" s="650">
        <v>45576580.670000002</v>
      </c>
      <c r="L138" s="650">
        <v>7779196.6900000004</v>
      </c>
      <c r="M138" s="650">
        <v>0</v>
      </c>
      <c r="N138" s="650">
        <v>0</v>
      </c>
      <c r="P138" s="650">
        <v>3325137.54</v>
      </c>
      <c r="Q138" s="649">
        <v>12560634.279999999</v>
      </c>
      <c r="R138" s="649">
        <v>108825153.65000001</v>
      </c>
      <c r="S138" s="649"/>
    </row>
    <row r="139" spans="2:19" x14ac:dyDescent="0.3">
      <c r="B139" s="649">
        <v>3</v>
      </c>
      <c r="C139" s="650">
        <v>523656880.38999999</v>
      </c>
      <c r="D139" s="650">
        <v>752490192.83000004</v>
      </c>
      <c r="E139" s="650">
        <v>2412917014.3899999</v>
      </c>
      <c r="F139" s="650">
        <v>1974452310.3599999</v>
      </c>
      <c r="G139" s="650">
        <v>1150205646.3199999</v>
      </c>
      <c r="H139" s="650">
        <v>2042703750.1300001</v>
      </c>
      <c r="I139" s="650">
        <v>947607050.53999996</v>
      </c>
      <c r="J139" s="649">
        <v>2861085350.3899999</v>
      </c>
      <c r="K139" s="650">
        <v>3695295924.79</v>
      </c>
      <c r="L139" s="650">
        <v>2810379326.6799998</v>
      </c>
      <c r="M139" s="650">
        <v>287503641.70999998</v>
      </c>
      <c r="N139" s="650">
        <v>1842439882.1800001</v>
      </c>
      <c r="O139" s="650">
        <v>9627716729.4899998</v>
      </c>
      <c r="P139" s="650">
        <v>6434273316.6000004</v>
      </c>
      <c r="Q139" s="649">
        <v>1781683088.6800001</v>
      </c>
      <c r="R139" s="649">
        <v>39144410105.489998</v>
      </c>
      <c r="S139" s="649"/>
    </row>
    <row r="140" spans="2:19" x14ac:dyDescent="0.3">
      <c r="B140" s="649">
        <v>4</v>
      </c>
      <c r="C140" s="650">
        <v>20694254.809999999</v>
      </c>
      <c r="D140" s="650">
        <v>0</v>
      </c>
      <c r="E140" s="650">
        <v>0</v>
      </c>
      <c r="F140" s="650">
        <v>0</v>
      </c>
      <c r="G140" s="650">
        <v>1429423.85</v>
      </c>
      <c r="H140" s="650">
        <v>6499017.79</v>
      </c>
      <c r="I140" s="650">
        <v>0</v>
      </c>
      <c r="J140" s="649">
        <v>3952726.26</v>
      </c>
      <c r="K140" s="650">
        <v>36776060.240000002</v>
      </c>
      <c r="L140" s="650">
        <v>14175569.4</v>
      </c>
      <c r="M140" s="650">
        <v>30038579.300000001</v>
      </c>
      <c r="N140" s="650">
        <v>10229978.810000001</v>
      </c>
      <c r="P140" s="650">
        <v>151509431.19999999</v>
      </c>
      <c r="Q140" s="649">
        <v>6466656.75</v>
      </c>
      <c r="R140" s="649">
        <v>281771698.42000002</v>
      </c>
      <c r="S140" s="649"/>
    </row>
    <row r="141" spans="2:19" x14ac:dyDescent="0.3">
      <c r="B141" s="649">
        <v>5</v>
      </c>
      <c r="C141" s="650">
        <v>1190088874.46</v>
      </c>
      <c r="D141" s="650">
        <v>14526339.130000001</v>
      </c>
      <c r="E141" s="650">
        <v>111272179.12</v>
      </c>
      <c r="F141" s="650">
        <v>39486529.950000003</v>
      </c>
      <c r="G141" s="650">
        <v>12814065.859999999</v>
      </c>
      <c r="H141" s="650">
        <v>37932294.539999999</v>
      </c>
      <c r="I141" s="650">
        <v>103577.25</v>
      </c>
      <c r="J141" s="649">
        <v>125862414.25</v>
      </c>
      <c r="K141" s="650">
        <v>53534980.689999998</v>
      </c>
      <c r="L141" s="650">
        <v>56544386.170000002</v>
      </c>
      <c r="M141" s="650">
        <v>0</v>
      </c>
      <c r="N141" s="650">
        <v>121594.45</v>
      </c>
      <c r="O141" s="650">
        <v>161041742.59</v>
      </c>
      <c r="P141" s="650">
        <v>62861176.719999999</v>
      </c>
      <c r="Q141" s="649">
        <v>160299537.47999999</v>
      </c>
      <c r="R141" s="649">
        <v>2026489692.6500001</v>
      </c>
      <c r="S141" s="649"/>
    </row>
    <row r="142" spans="2:19" x14ac:dyDescent="0.3">
      <c r="B142" s="649">
        <v>6</v>
      </c>
      <c r="C142" s="650">
        <v>338303698.01999998</v>
      </c>
      <c r="D142" s="650">
        <v>24706344.34</v>
      </c>
      <c r="E142" s="650">
        <v>90640190.569999993</v>
      </c>
      <c r="F142" s="650">
        <v>55575999.829999998</v>
      </c>
      <c r="G142" s="650">
        <v>15985241.789999999</v>
      </c>
      <c r="H142" s="650">
        <v>19620124.859999999</v>
      </c>
      <c r="I142" s="650">
        <v>312475.48</v>
      </c>
      <c r="J142" s="649">
        <v>83321170.140000001</v>
      </c>
      <c r="K142" s="650">
        <v>44482723.710000001</v>
      </c>
      <c r="L142" s="650">
        <v>54439409.259999998</v>
      </c>
      <c r="M142" s="650">
        <v>4854041.87</v>
      </c>
      <c r="N142" s="650">
        <v>13681844.84</v>
      </c>
      <c r="O142" s="650">
        <v>1044578781.26</v>
      </c>
      <c r="P142" s="650">
        <v>219150079.83000001</v>
      </c>
      <c r="Q142" s="649">
        <v>68376209.840000004</v>
      </c>
      <c r="R142" s="649">
        <v>2078028335.6500001</v>
      </c>
      <c r="S142" s="649"/>
    </row>
    <row r="143" spans="2:19" x14ac:dyDescent="0.3">
      <c r="B143" s="649" t="s">
        <v>491</v>
      </c>
      <c r="C143" s="650">
        <v>2776164027.0599999</v>
      </c>
      <c r="D143" s="650">
        <v>1123288320.47</v>
      </c>
      <c r="E143" s="650">
        <v>2908334868.4699998</v>
      </c>
      <c r="F143" s="650">
        <v>2342649809.8099999</v>
      </c>
      <c r="G143" s="650">
        <v>1396892275.6600001</v>
      </c>
      <c r="H143" s="650">
        <v>2435411690.5999999</v>
      </c>
      <c r="I143" s="650">
        <v>997851051.34000003</v>
      </c>
      <c r="J143" s="649">
        <v>3809864669.5900002</v>
      </c>
      <c r="K143" s="650">
        <v>4339672218.0799999</v>
      </c>
      <c r="L143" s="650">
        <v>3386763039.6700001</v>
      </c>
      <c r="M143" s="650">
        <v>334599124.14999998</v>
      </c>
      <c r="N143" s="650">
        <v>1881061669.79</v>
      </c>
      <c r="O143" s="650">
        <v>11243799845.450001</v>
      </c>
      <c r="P143" s="650">
        <v>7430577669.0699997</v>
      </c>
      <c r="Q143" s="649">
        <v>2990424439.2399998</v>
      </c>
      <c r="R143" s="649">
        <v>49397354718.449997</v>
      </c>
      <c r="S143" s="649"/>
    </row>
    <row r="144" spans="2:19" x14ac:dyDescent="0.3">
      <c r="K144" s="650"/>
      <c r="R144" s="649"/>
      <c r="S144" s="649"/>
    </row>
    <row r="145" spans="11:19" x14ac:dyDescent="0.3">
      <c r="K145" s="650"/>
      <c r="R145" s="649"/>
      <c r="S145" s="649"/>
    </row>
    <row r="146" spans="11:19" x14ac:dyDescent="0.3">
      <c r="K146" s="650"/>
      <c r="R146" s="649"/>
      <c r="S146" s="649"/>
    </row>
    <row r="147" spans="11:19" x14ac:dyDescent="0.3">
      <c r="K147" s="650"/>
      <c r="S147" s="649"/>
    </row>
  </sheetData>
  <phoneticPr fontId="0" type="noConversion"/>
  <pageMargins left="0.75" right="0.75" top="1" bottom="1" header="0" footer="0"/>
  <pageSetup orientation="portrait" horizontalDpi="1200" verticalDpi="1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9C9A-D16D-4F93-97F5-E1F5E6087B06}">
  <dimension ref="A1:R52"/>
  <sheetViews>
    <sheetView topLeftCell="D1" workbookViewId="0">
      <selection activeCell="H3" sqref="H3"/>
    </sheetView>
  </sheetViews>
  <sheetFormatPr defaultColWidth="14.88671875" defaultRowHeight="13" x14ac:dyDescent="0.3"/>
  <cols>
    <col min="1" max="1" width="12" style="649" customWidth="1"/>
    <col min="2" max="2" width="44.88671875" style="649" customWidth="1"/>
    <col min="3" max="18" width="26.33203125" style="649" customWidth="1"/>
    <col min="19" max="19" width="14.88671875" style="649" customWidth="1"/>
    <col min="20" max="20" width="13.6640625" style="649" customWidth="1"/>
    <col min="21" max="21" width="14.88671875" style="649" customWidth="1"/>
    <col min="22" max="22" width="10" style="649" customWidth="1"/>
    <col min="23" max="23" width="11.88671875" style="649" customWidth="1"/>
    <col min="24" max="24" width="14.88671875" style="649" customWidth="1"/>
    <col min="25" max="25" width="10.33203125" style="649" customWidth="1"/>
    <col min="26" max="16384" width="14.88671875" style="649"/>
  </cols>
  <sheetData>
    <row r="1" spans="1:18" x14ac:dyDescent="0.3">
      <c r="C1" s="649">
        <v>1</v>
      </c>
      <c r="D1" s="649">
        <v>2</v>
      </c>
      <c r="E1" s="649">
        <v>3</v>
      </c>
      <c r="F1" s="649">
        <v>4</v>
      </c>
      <c r="G1" s="649">
        <v>5</v>
      </c>
      <c r="H1" s="649">
        <v>6</v>
      </c>
      <c r="I1" s="649">
        <v>7</v>
      </c>
      <c r="J1" s="649">
        <v>8</v>
      </c>
      <c r="K1" s="649">
        <v>9</v>
      </c>
      <c r="L1" s="649">
        <v>10</v>
      </c>
      <c r="M1" s="649">
        <v>11</v>
      </c>
      <c r="N1" s="649">
        <v>12</v>
      </c>
      <c r="O1" s="649">
        <v>13</v>
      </c>
      <c r="P1" s="649">
        <v>14</v>
      </c>
      <c r="Q1" s="649">
        <v>15</v>
      </c>
    </row>
    <row r="2" spans="1:18" s="660" customFormat="1" ht="80.25" customHeight="1" x14ac:dyDescent="0.3">
      <c r="B2" s="659" t="s">
        <v>528</v>
      </c>
      <c r="C2" s="664" t="s">
        <v>486</v>
      </c>
      <c r="D2" s="664" t="s">
        <v>530</v>
      </c>
      <c r="E2" s="664" t="s">
        <v>529</v>
      </c>
      <c r="F2" s="664" t="s">
        <v>5</v>
      </c>
      <c r="G2" s="664" t="s">
        <v>650</v>
      </c>
      <c r="H2" s="664" t="s">
        <v>972</v>
      </c>
      <c r="I2" s="664" t="s">
        <v>3</v>
      </c>
      <c r="J2" s="664" t="s">
        <v>487</v>
      </c>
      <c r="K2" s="664" t="s">
        <v>535</v>
      </c>
      <c r="L2" s="664" t="s">
        <v>536</v>
      </c>
      <c r="M2" s="659" t="s">
        <v>488</v>
      </c>
      <c r="N2" s="659" t="s">
        <v>489</v>
      </c>
      <c r="O2" s="659" t="s">
        <v>1</v>
      </c>
      <c r="P2" s="664" t="s">
        <v>2</v>
      </c>
      <c r="Q2" s="664" t="s">
        <v>4</v>
      </c>
      <c r="R2" s="659" t="s">
        <v>491</v>
      </c>
    </row>
    <row r="3" spans="1:18" s="661" customFormat="1" x14ac:dyDescent="0.3">
      <c r="A3" s="661" t="s">
        <v>682</v>
      </c>
      <c r="B3" s="667" t="s">
        <v>646</v>
      </c>
      <c r="C3" s="668">
        <f>100*'Trabajo por tipo'!C15/'Trabajo por tipo'!$R15</f>
        <v>21.636672252805088</v>
      </c>
      <c r="D3" s="668">
        <f>100*'Trabajo por tipo'!D15/'Trabajo por tipo'!$R15</f>
        <v>3.0943394349877917</v>
      </c>
      <c r="E3" s="668">
        <f>100*'Trabajo por tipo'!E15/'Trabajo por tipo'!$R15</f>
        <v>1.3365292012485102</v>
      </c>
      <c r="F3" s="668">
        <f>100*'Trabajo por tipo'!F15/'Trabajo por tipo'!$R15</f>
        <v>3.7737928885308456</v>
      </c>
      <c r="G3" s="668">
        <f>100*'Trabajo por tipo'!G15/'Trabajo por tipo'!$R15</f>
        <v>3.2903515620467481</v>
      </c>
      <c r="H3" s="668">
        <f>100*'Trabajo por tipo'!H15/'Trabajo por tipo'!$R15</f>
        <v>5.4979536831217395</v>
      </c>
      <c r="I3" s="668">
        <f>100*'Trabajo por tipo'!I15/'Trabajo por tipo'!$R15</f>
        <v>0.5288597812952216</v>
      </c>
      <c r="J3" s="668">
        <f>100*'Trabajo por tipo'!J15/'Trabajo por tipo'!$R15</f>
        <v>9.3279394774225519</v>
      </c>
      <c r="K3" s="668">
        <f>100*'Trabajo por tipo'!K15/'Trabajo por tipo'!$R15</f>
        <v>14.854072493821267</v>
      </c>
      <c r="L3" s="668">
        <f>100*'Trabajo por tipo'!L15/'Trabajo por tipo'!$R15</f>
        <v>5.2547826130198469</v>
      </c>
      <c r="M3" s="668">
        <f>100*'Trabajo por tipo'!M15/'Trabajo por tipo'!$R15</f>
        <v>0.1483559016640725</v>
      </c>
      <c r="N3" s="668">
        <f>100*'Trabajo por tipo'!N15/'Trabajo por tipo'!$R15</f>
        <v>0.1945202800031163</v>
      </c>
      <c r="O3" s="668">
        <f>100*'Trabajo por tipo'!O15/'Trabajo por tipo'!$R15</f>
        <v>4.3395344442621075</v>
      </c>
      <c r="P3" s="668">
        <f>100*'Trabajo por tipo'!P15/'Trabajo por tipo'!$R15</f>
        <v>6.354191012781814</v>
      </c>
      <c r="Q3" s="668">
        <f>100*'Trabajo por tipo'!Q15/'Trabajo por tipo'!$R15</f>
        <v>20.36802209259729</v>
      </c>
      <c r="R3" s="668">
        <f>100*'Trabajo por tipo'!R15/'Trabajo por tipo'!$R15</f>
        <v>100</v>
      </c>
    </row>
    <row r="4" spans="1:18" s="661" customFormat="1" x14ac:dyDescent="0.3">
      <c r="A4" s="661" t="s">
        <v>683</v>
      </c>
      <c r="B4" s="669" t="s">
        <v>647</v>
      </c>
      <c r="C4" s="670">
        <f>100*'Trabajo por tipo'!C16/'Trabajo por tipo'!$R16</f>
        <v>17.847530659137792</v>
      </c>
      <c r="D4" s="670">
        <f>100*'Trabajo por tipo'!D16/'Trabajo por tipo'!$R16</f>
        <v>1.0780855796902766</v>
      </c>
      <c r="E4" s="670">
        <f>100*'Trabajo por tipo'!E16/'Trabajo por tipo'!$R16</f>
        <v>0.16754872622220443</v>
      </c>
      <c r="F4" s="670">
        <f>100*'Trabajo por tipo'!F16/'Trabajo por tipo'!$R16</f>
        <v>0.93263726253283119</v>
      </c>
      <c r="G4" s="670">
        <f>100*'Trabajo por tipo'!G16/'Trabajo por tipo'!$R16</f>
        <v>3.0435025833306284</v>
      </c>
      <c r="H4" s="670">
        <f>100*'Trabajo por tipo'!H16/'Trabajo por tipo'!$R16</f>
        <v>4.0238629166876736</v>
      </c>
      <c r="I4" s="670">
        <f>100*'Trabajo por tipo'!I16/'Trabajo por tipo'!$R16</f>
        <v>0.12472918365923379</v>
      </c>
      <c r="J4" s="670">
        <f>100*'Trabajo por tipo'!J16/'Trabajo por tipo'!$R16</f>
        <v>4.1564653710762274</v>
      </c>
      <c r="K4" s="670">
        <f>100*'Trabajo por tipo'!K16/'Trabajo por tipo'!$R16</f>
        <v>37.59749215608138</v>
      </c>
      <c r="L4" s="670">
        <f>100*'Trabajo por tipo'!L16/'Trabajo por tipo'!$R16</f>
        <v>9.6142995171751249</v>
      </c>
      <c r="M4" s="670">
        <f>100*'Trabajo por tipo'!M16/'Trabajo por tipo'!$R16</f>
        <v>0.28695999895023055</v>
      </c>
      <c r="N4" s="670">
        <f>100*'Trabajo por tipo'!N16/'Trabajo por tipo'!$R16</f>
        <v>1.042863052743317E-2</v>
      </c>
      <c r="O4" s="670">
        <f>100*'Trabajo por tipo'!O16/'Trabajo por tipo'!$R16</f>
        <v>0</v>
      </c>
      <c r="P4" s="670">
        <f>100*'Trabajo por tipo'!P16/'Trabajo por tipo'!$R16</f>
        <v>6.1278909234310612</v>
      </c>
      <c r="Q4" s="670">
        <f>100*'Trabajo por tipo'!Q16/'Trabajo por tipo'!$R16</f>
        <v>14.988497427719576</v>
      </c>
      <c r="R4" s="670">
        <f>100*'Trabajo por tipo'!R16/'Trabajo por tipo'!$R16</f>
        <v>100</v>
      </c>
    </row>
    <row r="5" spans="1:18" s="661" customFormat="1" x14ac:dyDescent="0.3">
      <c r="A5" s="661" t="s">
        <v>684</v>
      </c>
      <c r="B5" s="669" t="s">
        <v>648</v>
      </c>
      <c r="C5" s="670">
        <f>100*'Trabajo por tipo'!C17/'Trabajo por tipo'!$R17</f>
        <v>4.4248463716141142</v>
      </c>
      <c r="D5" s="670">
        <f>100*'Trabajo por tipo'!D17/'Trabajo por tipo'!$R17</f>
        <v>1.1738028498218207</v>
      </c>
      <c r="E5" s="670">
        <f>100*'Trabajo por tipo'!E17/'Trabajo por tipo'!$R17</f>
        <v>1.9136959945857224</v>
      </c>
      <c r="F5" s="670">
        <f>100*'Trabajo por tipo'!F17/'Trabajo por tipo'!$R17</f>
        <v>2.4925911260965048</v>
      </c>
      <c r="G5" s="670">
        <f>100*'Trabajo por tipo'!G17/'Trabajo por tipo'!$R17</f>
        <v>4.3804018496456472</v>
      </c>
      <c r="H5" s="670">
        <f>100*'Trabajo por tipo'!H17/'Trabajo por tipo'!$R17</f>
        <v>4.2955246738612836</v>
      </c>
      <c r="I5" s="670">
        <f>100*'Trabajo por tipo'!I17/'Trabajo por tipo'!$R17</f>
        <v>1.9495586072886923</v>
      </c>
      <c r="J5" s="670">
        <f>100*'Trabajo por tipo'!J17/'Trabajo por tipo'!$R17</f>
        <v>4.7170150305512477</v>
      </c>
      <c r="K5" s="670">
        <f>100*'Trabajo por tipo'!K17/'Trabajo por tipo'!$R17</f>
        <v>15.526487923404716</v>
      </c>
      <c r="L5" s="670">
        <f>100*'Trabajo por tipo'!L17/'Trabajo por tipo'!$R17</f>
        <v>6.631652942007574</v>
      </c>
      <c r="M5" s="670">
        <f>100*'Trabajo por tipo'!M17/'Trabajo por tipo'!$R17</f>
        <v>0.85121376454520237</v>
      </c>
      <c r="N5" s="670">
        <f>100*'Trabajo por tipo'!N17/'Trabajo por tipo'!$R17</f>
        <v>4.4482198643290847</v>
      </c>
      <c r="O5" s="670">
        <f>100*'Trabajo por tipo'!O17/'Trabajo por tipo'!$R17</f>
        <v>23.265311818091433</v>
      </c>
      <c r="P5" s="670">
        <f>100*'Trabajo por tipo'!P17/'Trabajo por tipo'!$R17</f>
        <v>14.743336374213108</v>
      </c>
      <c r="Q5" s="670">
        <f>100*'Trabajo por tipo'!Q17/'Trabajo por tipo'!$R17</f>
        <v>9.1863059241338281</v>
      </c>
      <c r="R5" s="670">
        <f>100*'Trabajo por tipo'!R17/'Trabajo por tipo'!$R17</f>
        <v>100</v>
      </c>
    </row>
    <row r="6" spans="1:18" s="661" customFormat="1" x14ac:dyDescent="0.3">
      <c r="A6" s="661" t="s">
        <v>685</v>
      </c>
      <c r="B6" s="669" t="s">
        <v>649</v>
      </c>
      <c r="C6" s="670">
        <f>100*'Trabajo por tipo'!C18/'Trabajo por tipo'!$R18</f>
        <v>5.4078050954634893</v>
      </c>
      <c r="D6" s="670">
        <f>100*'Trabajo por tipo'!D18/'Trabajo por tipo'!$R18</f>
        <v>0.33863369704059315</v>
      </c>
      <c r="E6" s="670">
        <f>100*'Trabajo por tipo'!E18/'Trabajo por tipo'!$R18</f>
        <v>0.1076991538024058</v>
      </c>
      <c r="F6" s="670">
        <f>100*'Trabajo por tipo'!F18/'Trabajo por tipo'!$R18</f>
        <v>1.2294013065903868</v>
      </c>
      <c r="G6" s="670">
        <f>100*'Trabajo por tipo'!G18/'Trabajo por tipo'!$R18</f>
        <v>4.4624849119250101</v>
      </c>
      <c r="H6" s="670">
        <f>100*'Trabajo por tipo'!H18/'Trabajo por tipo'!$R18</f>
        <v>4.8169360434339721</v>
      </c>
      <c r="I6" s="670">
        <f>100*'Trabajo por tipo'!I18/'Trabajo por tipo'!$R18</f>
        <v>0.81463302497537748</v>
      </c>
      <c r="J6" s="670">
        <f>100*'Trabajo por tipo'!J18/'Trabajo por tipo'!$R18</f>
        <v>5.234094515146424</v>
      </c>
      <c r="K6" s="670">
        <f>100*'Trabajo por tipo'!K18/'Trabajo por tipo'!$R18</f>
        <v>33.996868850972348</v>
      </c>
      <c r="L6" s="670">
        <f>100*'Trabajo por tipo'!L18/'Trabajo por tipo'!$R18</f>
        <v>14.317660481932624</v>
      </c>
      <c r="M6" s="670">
        <f>100*'Trabajo por tipo'!M18/'Trabajo por tipo'!$R18</f>
        <v>0.75087118914066342</v>
      </c>
      <c r="N6" s="670">
        <f>100*'Trabajo por tipo'!N18/'Trabajo por tipo'!$R18</f>
        <v>3.1020449482277797</v>
      </c>
      <c r="O6" s="670">
        <f>100*'Trabajo por tipo'!O18/'Trabajo por tipo'!$R18</f>
        <v>0</v>
      </c>
      <c r="P6" s="670">
        <f>100*'Trabajo por tipo'!P18/'Trabajo por tipo'!$R18</f>
        <v>16.608938889166183</v>
      </c>
      <c r="Q6" s="670">
        <f>100*'Trabajo por tipo'!Q18/'Trabajo por tipo'!$R18</f>
        <v>8.8119278921827426</v>
      </c>
      <c r="R6" s="670">
        <f>100*'Trabajo por tipo'!R18/'Trabajo por tipo'!$R18</f>
        <v>100</v>
      </c>
    </row>
    <row r="7" spans="1:18" s="661" customFormat="1" x14ac:dyDescent="0.3">
      <c r="A7" s="661" t="s">
        <v>686</v>
      </c>
      <c r="B7" s="669" t="s">
        <v>10</v>
      </c>
      <c r="C7" s="670">
        <f>100*'Trabajo por tipo'!C19/'Trabajo por tipo'!$R19</f>
        <v>82.590878172916121</v>
      </c>
      <c r="D7" s="670">
        <f>100*'Trabajo por tipo'!D19/'Trabajo por tipo'!$R19</f>
        <v>0.5324231526816039</v>
      </c>
      <c r="E7" s="670">
        <f>100*'Trabajo por tipo'!E19/'Trabajo por tipo'!$R19</f>
        <v>0.53184228517922372</v>
      </c>
      <c r="F7" s="670">
        <f>100*'Trabajo por tipo'!F19/'Trabajo por tipo'!$R19</f>
        <v>0.56771085345119521</v>
      </c>
      <c r="G7" s="670">
        <f>100*'Trabajo por tipo'!G19/'Trabajo por tipo'!$R19</f>
        <v>2.1061093901297832</v>
      </c>
      <c r="H7" s="670">
        <f>100*'Trabajo por tipo'!H19/'Trabajo por tipo'!$R19</f>
        <v>1.0662984741191579</v>
      </c>
      <c r="I7" s="670">
        <f>100*'Trabajo por tipo'!I19/'Trabajo por tipo'!$R19</f>
        <v>2.5325823103772561E-2</v>
      </c>
      <c r="J7" s="670">
        <f>100*'Trabajo por tipo'!J19/'Trabajo por tipo'!$R19</f>
        <v>1.1193026337113425</v>
      </c>
      <c r="K7" s="670">
        <f>100*'Trabajo por tipo'!K19/'Trabajo por tipo'!$R19</f>
        <v>6.1716591260383735</v>
      </c>
      <c r="L7" s="670">
        <f>100*'Trabajo por tipo'!L19/'Trabajo por tipo'!$R19</f>
        <v>0.96084197906205004</v>
      </c>
      <c r="M7" s="670">
        <f>100*'Trabajo por tipo'!M19/'Trabajo por tipo'!$R19</f>
        <v>5.5589019977776009E-2</v>
      </c>
      <c r="N7" s="670">
        <f>100*'Trabajo por tipo'!N19/'Trabajo por tipo'!$R19</f>
        <v>6.1862389003481139E-3</v>
      </c>
      <c r="O7" s="670">
        <f>100*'Trabajo por tipo'!O19/'Trabajo por tipo'!$R19</f>
        <v>0.85770895401446245</v>
      </c>
      <c r="P7" s="670">
        <f>100*'Trabajo por tipo'!P19/'Trabajo por tipo'!$R19</f>
        <v>0.52005067488090762</v>
      </c>
      <c r="Q7" s="670">
        <f>100*'Trabajo por tipo'!Q19/'Trabajo por tipo'!$R19</f>
        <v>2.8880441784587609</v>
      </c>
      <c r="R7" s="670">
        <f>100*'Trabajo por tipo'!R19/'Trabajo por tipo'!$R19</f>
        <v>100</v>
      </c>
    </row>
    <row r="8" spans="1:18" s="661" customFormat="1" x14ac:dyDescent="0.3">
      <c r="A8" s="661" t="s">
        <v>687</v>
      </c>
      <c r="B8" s="669" t="s">
        <v>11</v>
      </c>
      <c r="C8" s="670">
        <f>100*'Trabajo por tipo'!C20/'Trabajo por tipo'!$R20</f>
        <v>50.978910592583169</v>
      </c>
      <c r="D8" s="670">
        <f>100*'Trabajo por tipo'!D20/'Trabajo por tipo'!$R20</f>
        <v>1.090305156767837</v>
      </c>
      <c r="E8" s="670">
        <f>100*'Trabajo por tipo'!E20/'Trabajo por tipo'!$R20</f>
        <v>1.040480590114387</v>
      </c>
      <c r="F8" s="670">
        <f>100*'Trabajo por tipo'!F20/'Trabajo por tipo'!$R20</f>
        <v>1.7784228205492671</v>
      </c>
      <c r="G8" s="670">
        <f>100*'Trabajo por tipo'!G20/'Trabajo por tipo'!$R20</f>
        <v>1.6946337595104324</v>
      </c>
      <c r="H8" s="670">
        <f>100*'Trabajo por tipo'!H20/'Trabajo por tipo'!$R20</f>
        <v>1.5695486612453149</v>
      </c>
      <c r="I8" s="670">
        <f>100*'Trabajo por tipo'!I20/'Trabajo por tipo'!$R20</f>
        <v>4.1744907196133732E-2</v>
      </c>
      <c r="J8" s="670">
        <f>100*'Trabajo por tipo'!J20/'Trabajo por tipo'!$R20</f>
        <v>2.3628515212951395</v>
      </c>
      <c r="K8" s="670">
        <f>100*'Trabajo por tipo'!K20/'Trabajo por tipo'!$R20</f>
        <v>9.3595373646844067</v>
      </c>
      <c r="L8" s="670">
        <f>100*'Trabajo por tipo'!L20/'Trabajo por tipo'!$R20</f>
        <v>4.6676491931562296</v>
      </c>
      <c r="M8" s="670">
        <f>100*'Trabajo por tipo'!M20/'Trabajo por tipo'!$R20</f>
        <v>0.22308837501589748</v>
      </c>
      <c r="N8" s="670">
        <f>100*'Trabajo por tipo'!N20/'Trabajo por tipo'!$R20</f>
        <v>0.70263112613994272</v>
      </c>
      <c r="O8" s="670">
        <f>100*'Trabajo por tipo'!O20/'Trabajo por tipo'!$R20</f>
        <v>16.349939028495761</v>
      </c>
      <c r="P8" s="670">
        <f>100*'Trabajo por tipo'!P20/'Trabajo por tipo'!$R20</f>
        <v>3.4019855014999738</v>
      </c>
      <c r="Q8" s="670">
        <f>100*'Trabajo por tipo'!Q20/'Trabajo por tipo'!$R20</f>
        <v>4.7382714017461041</v>
      </c>
      <c r="R8" s="670">
        <f>100*'Trabajo por tipo'!R20/'Trabajo por tipo'!$R20</f>
        <v>100</v>
      </c>
    </row>
    <row r="9" spans="1:18" s="661" customFormat="1" x14ac:dyDescent="0.3">
      <c r="B9" s="662" t="s">
        <v>491</v>
      </c>
      <c r="C9" s="663">
        <f>100*'Trabajo por tipo'!C21/'Trabajo por tipo'!$R21</f>
        <v>35.347684320731851</v>
      </c>
      <c r="D9" s="663">
        <f>100*'Trabajo por tipo'!D21/'Trabajo por tipo'!$R21</f>
        <v>1.0586034734510592</v>
      </c>
      <c r="E9" s="663">
        <f>100*'Trabajo por tipo'!E21/'Trabajo por tipo'!$R21</f>
        <v>0.90644528030992833</v>
      </c>
      <c r="F9" s="663">
        <f>100*'Trabajo por tipo'!F21/'Trabajo por tipo'!$R21</f>
        <v>1.6228850409165421</v>
      </c>
      <c r="G9" s="663">
        <f>100*'Trabajo por tipo'!G21/'Trabajo por tipo'!$R21</f>
        <v>3.2261770346692002</v>
      </c>
      <c r="H9" s="663">
        <f>100*'Trabajo por tipo'!H21/'Trabajo por tipo'!$R21</f>
        <v>3.2877060775171865</v>
      </c>
      <c r="I9" s="663">
        <f>100*'Trabajo por tipo'!I21/'Trabajo por tipo'!$R21</f>
        <v>0.69482047033806238</v>
      </c>
      <c r="J9" s="663">
        <f>100*'Trabajo por tipo'!J21/'Trabajo por tipo'!$R21</f>
        <v>3.9505318074034221</v>
      </c>
      <c r="K9" s="663">
        <f>100*'Trabajo por tipo'!K21/'Trabajo por tipo'!$R21</f>
        <v>17.434076090132358</v>
      </c>
      <c r="L9" s="663">
        <f>100*'Trabajo por tipo'!L21/'Trabajo por tipo'!$R21</f>
        <v>5.97607839100377</v>
      </c>
      <c r="M9" s="663">
        <f>100*'Trabajo por tipo'!M21/'Trabajo por tipo'!$R21</f>
        <v>0.40191074724770154</v>
      </c>
      <c r="N9" s="663">
        <f>100*'Trabajo por tipo'!N21/'Trabajo por tipo'!$R21</f>
        <v>1.6195652586870197</v>
      </c>
      <c r="O9" s="663">
        <f>100*'Trabajo por tipo'!O21/'Trabajo por tipo'!$R21</f>
        <v>7.7618227214579685</v>
      </c>
      <c r="P9" s="663">
        <f>100*'Trabajo por tipo'!P21/'Trabajo por tipo'!$R21</f>
        <v>7.8237859592569547</v>
      </c>
      <c r="Q9" s="663">
        <f>100*'Trabajo por tipo'!Q21/'Trabajo por tipo'!$R21</f>
        <v>8.8879254183332659</v>
      </c>
      <c r="R9" s="663">
        <f>100*'Trabajo por tipo'!R21/'Trabajo por tipo'!$R21</f>
        <v>100</v>
      </c>
    </row>
    <row r="10" spans="1:18" s="661" customFormat="1" x14ac:dyDescent="0.3"/>
    <row r="18" ht="32.25" customHeight="1" x14ac:dyDescent="0.3"/>
    <row r="38" spans="18:18" x14ac:dyDescent="0.3">
      <c r="R38" s="664"/>
    </row>
    <row r="39" spans="18:18" x14ac:dyDescent="0.3">
      <c r="R39" s="664"/>
    </row>
    <row r="40" spans="18:18" x14ac:dyDescent="0.3">
      <c r="R40" s="664"/>
    </row>
    <row r="41" spans="18:18" x14ac:dyDescent="0.3">
      <c r="R41" s="664"/>
    </row>
    <row r="42" spans="18:18" x14ac:dyDescent="0.3">
      <c r="R42" s="664"/>
    </row>
    <row r="43" spans="18:18" x14ac:dyDescent="0.3">
      <c r="R43" s="664"/>
    </row>
    <row r="44" spans="18:18" x14ac:dyDescent="0.3">
      <c r="R44" s="664"/>
    </row>
    <row r="45" spans="18:18" x14ac:dyDescent="0.3">
      <c r="R45" s="664"/>
    </row>
    <row r="46" spans="18:18" x14ac:dyDescent="0.3">
      <c r="R46" s="664"/>
    </row>
    <row r="47" spans="18:18" x14ac:dyDescent="0.3">
      <c r="R47" s="664"/>
    </row>
    <row r="48" spans="18:18" x14ac:dyDescent="0.3">
      <c r="R48" s="659"/>
    </row>
    <row r="49" spans="18:18" x14ac:dyDescent="0.3">
      <c r="R49" s="659"/>
    </row>
    <row r="50" spans="18:18" x14ac:dyDescent="0.3">
      <c r="R50" s="659"/>
    </row>
    <row r="51" spans="18:18" x14ac:dyDescent="0.3">
      <c r="R51" s="664"/>
    </row>
    <row r="52" spans="18:18" x14ac:dyDescent="0.3">
      <c r="R52" s="664"/>
    </row>
  </sheetData>
  <phoneticPr fontId="0" type="noConversion"/>
  <printOptions horizontalCentered="1" verticalCentered="1"/>
  <pageMargins left="0.75" right="0.75" top="1" bottom="1" header="0" footer="0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46B94-ECD8-4F46-828A-248C9A1F7F4A}">
  <dimension ref="A2:Q92"/>
  <sheetViews>
    <sheetView workbookViewId="0">
      <selection activeCell="C7" sqref="C7"/>
    </sheetView>
  </sheetViews>
  <sheetFormatPr defaultColWidth="11" defaultRowHeight="13" x14ac:dyDescent="0.3"/>
  <cols>
    <col min="1" max="2" width="11" customWidth="1"/>
    <col min="3" max="3" width="42.109375" customWidth="1"/>
    <col min="4" max="4" width="18.6640625" bestFit="1" customWidth="1"/>
    <col min="5" max="8" width="18.6640625" customWidth="1"/>
    <col min="9" max="9" width="13.44140625" customWidth="1"/>
    <col min="10" max="10" width="13.33203125" customWidth="1"/>
    <col min="11" max="11" width="12.6640625" bestFit="1" customWidth="1"/>
    <col min="12" max="12" width="11" customWidth="1"/>
    <col min="13" max="13" width="47.6640625" customWidth="1"/>
    <col min="14" max="14" width="13.44140625" customWidth="1"/>
    <col min="15" max="16" width="11" customWidth="1"/>
    <col min="17" max="17" width="12.6640625" bestFit="1" customWidth="1"/>
  </cols>
  <sheetData>
    <row r="2" spans="1:17" x14ac:dyDescent="0.3">
      <c r="C2" s="364" t="s">
        <v>534</v>
      </c>
    </row>
    <row r="3" spans="1:17" x14ac:dyDescent="0.3">
      <c r="C3" s="364"/>
    </row>
    <row r="4" spans="1:17" x14ac:dyDescent="0.3">
      <c r="D4" t="s">
        <v>677</v>
      </c>
      <c r="E4" t="s">
        <v>678</v>
      </c>
      <c r="F4" t="s">
        <v>679</v>
      </c>
      <c r="G4" t="s">
        <v>680</v>
      </c>
      <c r="H4" t="s">
        <v>679</v>
      </c>
      <c r="I4" t="s">
        <v>680</v>
      </c>
      <c r="J4" t="s">
        <v>681</v>
      </c>
      <c r="Q4" s="364"/>
    </row>
    <row r="5" spans="1:17" s="391" customFormat="1" ht="52" x14ac:dyDescent="0.3">
      <c r="C5" s="392" t="s">
        <v>533</v>
      </c>
      <c r="D5" s="431" t="s">
        <v>669</v>
      </c>
      <c r="E5" s="431" t="s">
        <v>670</v>
      </c>
      <c r="F5" s="431" t="s">
        <v>675</v>
      </c>
      <c r="G5" s="431" t="s">
        <v>671</v>
      </c>
      <c r="H5" s="431" t="s">
        <v>672</v>
      </c>
      <c r="I5" s="431" t="s">
        <v>673</v>
      </c>
      <c r="J5" s="431" t="s">
        <v>674</v>
      </c>
      <c r="K5" s="392" t="s">
        <v>491</v>
      </c>
      <c r="L5"/>
      <c r="M5" s="392" t="s">
        <v>533</v>
      </c>
      <c r="N5" s="392" t="s">
        <v>492</v>
      </c>
      <c r="O5" s="392" t="s">
        <v>494</v>
      </c>
      <c r="P5" s="392" t="s">
        <v>493</v>
      </c>
      <c r="Q5" s="392" t="s">
        <v>491</v>
      </c>
    </row>
    <row r="6" spans="1:17" x14ac:dyDescent="0.3">
      <c r="A6">
        <v>1</v>
      </c>
      <c r="B6" t="s">
        <v>655</v>
      </c>
      <c r="C6" s="637" t="s">
        <v>486</v>
      </c>
      <c r="D6" s="369">
        <v>1235402333.74</v>
      </c>
      <c r="E6" s="369">
        <v>1235402333.74</v>
      </c>
      <c r="F6" s="369">
        <v>1235402333.74</v>
      </c>
      <c r="G6" s="369">
        <v>1235402333.74</v>
      </c>
      <c r="H6" s="369">
        <v>1235402333.74</v>
      </c>
      <c r="I6" s="369">
        <v>70926707.780000001</v>
      </c>
      <c r="J6" s="369">
        <v>107975894.22</v>
      </c>
      <c r="K6" s="369">
        <v>1414304935.74</v>
      </c>
      <c r="M6" s="637" t="s">
        <v>486</v>
      </c>
      <c r="N6" s="371">
        <f>D6/$K6</f>
        <v>0.87350492989236894</v>
      </c>
      <c r="O6" s="371">
        <f t="shared" ref="O6:O22" si="0">I6/$K6</f>
        <v>5.014951584177945E-2</v>
      </c>
      <c r="P6" s="371">
        <f t="shared" ref="P6:P22" si="1">J6/$K6</f>
        <v>7.6345554265851642E-2</v>
      </c>
      <c r="Q6" s="371">
        <f t="shared" ref="Q6:Q22" si="2">K6/$K6</f>
        <v>1</v>
      </c>
    </row>
    <row r="7" spans="1:17" ht="13.5" customHeight="1" x14ac:dyDescent="0.3">
      <c r="A7">
        <v>2</v>
      </c>
      <c r="B7" t="s">
        <v>654</v>
      </c>
      <c r="C7" s="637" t="s">
        <v>530</v>
      </c>
      <c r="D7" s="372">
        <v>19236893.41</v>
      </c>
      <c r="E7" s="372">
        <v>19236893.41</v>
      </c>
      <c r="F7" s="372">
        <v>19236893.41</v>
      </c>
      <c r="G7" s="372">
        <v>19236893.41</v>
      </c>
      <c r="H7" s="372">
        <v>19236893.41</v>
      </c>
      <c r="I7" s="372">
        <v>25131754.170000002</v>
      </c>
      <c r="J7" s="372">
        <v>39456836</v>
      </c>
      <c r="K7" s="372">
        <v>83825483.590000004</v>
      </c>
      <c r="M7" s="637" t="s">
        <v>530</v>
      </c>
      <c r="N7" s="374">
        <f t="shared" ref="N7:N22" si="3">D7/$K7</f>
        <v>0.2294874134468444</v>
      </c>
      <c r="O7" s="374">
        <f t="shared" si="0"/>
        <v>0.2998104286868451</v>
      </c>
      <c r="P7" s="374">
        <f t="shared" si="1"/>
        <v>0.47070215774701502</v>
      </c>
      <c r="Q7" s="374">
        <f t="shared" si="2"/>
        <v>1</v>
      </c>
    </row>
    <row r="8" spans="1:17" ht="13.5" customHeight="1" x14ac:dyDescent="0.3">
      <c r="A8">
        <v>3</v>
      </c>
      <c r="B8" t="s">
        <v>656</v>
      </c>
      <c r="C8" s="637" t="s">
        <v>529</v>
      </c>
      <c r="D8" s="372">
        <v>3265562.22</v>
      </c>
      <c r="E8" s="372">
        <v>3265562.22</v>
      </c>
      <c r="F8" s="372">
        <v>3265562.22</v>
      </c>
      <c r="G8" s="372">
        <v>3265562.22</v>
      </c>
      <c r="H8" s="372">
        <v>3265562.22</v>
      </c>
      <c r="I8" s="372">
        <v>17314371.780000001</v>
      </c>
      <c r="J8" s="372">
        <v>77599148.079999998</v>
      </c>
      <c r="K8" s="372">
        <v>98179082.079999998</v>
      </c>
      <c r="M8" s="637" t="s">
        <v>529</v>
      </c>
      <c r="N8" s="374">
        <f t="shared" si="3"/>
        <v>3.3261282860019996E-2</v>
      </c>
      <c r="O8" s="374">
        <f t="shared" si="0"/>
        <v>0.17635499755326295</v>
      </c>
      <c r="P8" s="374">
        <f t="shared" si="1"/>
        <v>0.79038371958671705</v>
      </c>
      <c r="Q8" s="374">
        <f t="shared" si="2"/>
        <v>1</v>
      </c>
    </row>
    <row r="9" spans="1:17" ht="27" customHeight="1" x14ac:dyDescent="0.3">
      <c r="A9">
        <v>4</v>
      </c>
      <c r="B9" t="s">
        <v>659</v>
      </c>
      <c r="C9" s="637" t="s">
        <v>5</v>
      </c>
      <c r="D9" s="372">
        <v>6950385.4900000002</v>
      </c>
      <c r="E9" s="372">
        <v>6950385.4900000002</v>
      </c>
      <c r="F9" s="372">
        <v>6950385.4900000002</v>
      </c>
      <c r="G9" s="372">
        <v>6950385.4900000002</v>
      </c>
      <c r="H9" s="372">
        <v>6950385.4900000002</v>
      </c>
      <c r="I9" s="372">
        <v>3034434.84</v>
      </c>
      <c r="J9" s="372">
        <v>33209084.329999998</v>
      </c>
      <c r="K9" s="372">
        <v>43193904.649999999</v>
      </c>
      <c r="M9" s="637" t="s">
        <v>5</v>
      </c>
      <c r="N9" s="374">
        <f t="shared" si="3"/>
        <v>0.16091125695439995</v>
      </c>
      <c r="O9" s="374">
        <f t="shared" si="0"/>
        <v>7.0251459426694821E-2</v>
      </c>
      <c r="P9" s="374">
        <f t="shared" si="1"/>
        <v>0.76883728385041938</v>
      </c>
      <c r="Q9" s="374">
        <f t="shared" si="2"/>
        <v>1</v>
      </c>
    </row>
    <row r="10" spans="1:17" ht="26" x14ac:dyDescent="0.3">
      <c r="A10">
        <v>5</v>
      </c>
      <c r="B10" t="s">
        <v>657</v>
      </c>
      <c r="C10" s="637" t="s">
        <v>650</v>
      </c>
      <c r="D10" s="372">
        <v>20726523.719999999</v>
      </c>
      <c r="E10" s="372">
        <v>20726523.719999999</v>
      </c>
      <c r="F10" s="372">
        <v>20726523.719999999</v>
      </c>
      <c r="G10" s="372">
        <v>20726523.719999999</v>
      </c>
      <c r="H10" s="372">
        <v>20726523.719999999</v>
      </c>
      <c r="I10" s="372">
        <v>18667377.890000001</v>
      </c>
      <c r="J10" s="372">
        <v>68376928.939999998</v>
      </c>
      <c r="K10" s="372">
        <v>107770830.54000001</v>
      </c>
      <c r="M10" s="637" t="s">
        <v>650</v>
      </c>
      <c r="N10" s="374">
        <f t="shared" si="3"/>
        <v>0.19232034880075627</v>
      </c>
      <c r="O10" s="374">
        <f t="shared" si="0"/>
        <v>0.17321364043001833</v>
      </c>
      <c r="P10" s="374">
        <f t="shared" si="1"/>
        <v>0.63446601086201482</v>
      </c>
      <c r="Q10" s="374">
        <f t="shared" si="2"/>
        <v>1</v>
      </c>
    </row>
    <row r="11" spans="1:17" ht="39" x14ac:dyDescent="0.3">
      <c r="A11">
        <v>6</v>
      </c>
      <c r="B11" t="s">
        <v>658</v>
      </c>
      <c r="C11" s="637" t="s">
        <v>653</v>
      </c>
      <c r="D11" s="372"/>
      <c r="E11" s="372"/>
      <c r="F11" s="372"/>
      <c r="G11" s="372"/>
      <c r="H11" s="372"/>
      <c r="I11" s="372">
        <v>9042912.4299999997</v>
      </c>
      <c r="J11" s="372">
        <v>58162354.719999999</v>
      </c>
      <c r="K11" s="372">
        <v>67205267.159999996</v>
      </c>
      <c r="M11" s="637" t="s">
        <v>653</v>
      </c>
      <c r="N11" s="374">
        <f t="shared" si="3"/>
        <v>0</v>
      </c>
      <c r="O11" s="374">
        <f t="shared" si="0"/>
        <v>0.13455660266137986</v>
      </c>
      <c r="P11" s="374">
        <f t="shared" si="1"/>
        <v>0.86544339718982233</v>
      </c>
      <c r="Q11" s="374">
        <f t="shared" si="2"/>
        <v>1</v>
      </c>
    </row>
    <row r="12" spans="1:17" ht="39" x14ac:dyDescent="0.3">
      <c r="A12">
        <v>7</v>
      </c>
      <c r="B12" t="s">
        <v>660</v>
      </c>
      <c r="C12" s="637" t="s">
        <v>3</v>
      </c>
      <c r="D12" s="372">
        <v>39373572.899999999</v>
      </c>
      <c r="E12" s="372">
        <v>39373572.899999999</v>
      </c>
      <c r="F12" s="372">
        <v>39373572.899999999</v>
      </c>
      <c r="G12" s="372">
        <v>39373572.899999999</v>
      </c>
      <c r="H12" s="372">
        <v>39373572.899999999</v>
      </c>
      <c r="I12" s="372">
        <v>11782767.9</v>
      </c>
      <c r="J12" s="372">
        <v>72021794.540000007</v>
      </c>
      <c r="K12" s="372">
        <v>123178135.34</v>
      </c>
      <c r="M12" s="637" t="s">
        <v>3</v>
      </c>
      <c r="N12" s="374">
        <f t="shared" si="3"/>
        <v>0.31964741787428325</v>
      </c>
      <c r="O12" s="374">
        <f t="shared" si="0"/>
        <v>9.5656326242290077E-2</v>
      </c>
      <c r="P12" s="374">
        <f t="shared" si="1"/>
        <v>0.58469625588342666</v>
      </c>
      <c r="Q12" s="374">
        <f t="shared" si="2"/>
        <v>1</v>
      </c>
    </row>
    <row r="13" spans="1:17" x14ac:dyDescent="0.3">
      <c r="A13">
        <v>8</v>
      </c>
      <c r="B13" t="s">
        <v>661</v>
      </c>
      <c r="C13" s="637" t="s">
        <v>487</v>
      </c>
      <c r="D13" s="372">
        <v>19539301.239999998</v>
      </c>
      <c r="E13" s="372">
        <v>19539301.239999998</v>
      </c>
      <c r="F13" s="372">
        <v>19539301.239999998</v>
      </c>
      <c r="G13" s="372">
        <v>19539301.239999998</v>
      </c>
      <c r="H13" s="372">
        <v>19539301.239999998</v>
      </c>
      <c r="I13" s="372">
        <v>50306491.229999997</v>
      </c>
      <c r="J13" s="372">
        <v>237842194.22</v>
      </c>
      <c r="K13" s="372">
        <v>307687986.69</v>
      </c>
      <c r="M13" s="637" t="s">
        <v>487</v>
      </c>
      <c r="N13" s="374">
        <f t="shared" si="3"/>
        <v>6.3503620827699461E-2</v>
      </c>
      <c r="O13" s="374">
        <f t="shared" si="0"/>
        <v>0.16349839254752738</v>
      </c>
      <c r="P13" s="374">
        <f t="shared" si="1"/>
        <v>0.77299798662477315</v>
      </c>
      <c r="Q13" s="374">
        <f t="shared" si="2"/>
        <v>1</v>
      </c>
    </row>
    <row r="14" spans="1:17" x14ac:dyDescent="0.3">
      <c r="A14">
        <v>9</v>
      </c>
      <c r="B14" t="s">
        <v>662</v>
      </c>
      <c r="C14" s="637" t="s">
        <v>535</v>
      </c>
      <c r="D14" s="372">
        <v>31442266.579999998</v>
      </c>
      <c r="E14" s="372">
        <v>31442266.579999998</v>
      </c>
      <c r="F14" s="372">
        <v>31442266.579999998</v>
      </c>
      <c r="G14" s="372">
        <v>31442266.579999998</v>
      </c>
      <c r="H14" s="372">
        <v>31442266.579999998</v>
      </c>
      <c r="I14" s="372">
        <v>42991910.969999999</v>
      </c>
      <c r="J14" s="372">
        <v>235967906.56</v>
      </c>
      <c r="K14" s="372">
        <v>310402084.11000001</v>
      </c>
      <c r="M14" s="637" t="s">
        <v>535</v>
      </c>
      <c r="N14" s="374">
        <f t="shared" si="3"/>
        <v>0.10129528179603818</v>
      </c>
      <c r="O14" s="374">
        <f t="shared" si="0"/>
        <v>0.13850393786262261</v>
      </c>
      <c r="P14" s="374">
        <f t="shared" si="1"/>
        <v>0.7602007803413392</v>
      </c>
      <c r="Q14" s="374">
        <f t="shared" si="2"/>
        <v>1</v>
      </c>
    </row>
    <row r="15" spans="1:17" x14ac:dyDescent="0.3">
      <c r="A15">
        <v>10</v>
      </c>
      <c r="B15" t="s">
        <v>663</v>
      </c>
      <c r="C15" s="637" t="s">
        <v>536</v>
      </c>
      <c r="D15" s="372"/>
      <c r="E15" s="372"/>
      <c r="F15" s="372"/>
      <c r="G15" s="372"/>
      <c r="H15" s="372"/>
      <c r="I15" s="372">
        <v>383945.51</v>
      </c>
      <c r="J15" s="372">
        <v>57958464.229999997</v>
      </c>
      <c r="K15" s="372">
        <v>58342409.740000002</v>
      </c>
      <c r="M15" s="637" t="s">
        <v>536</v>
      </c>
      <c r="N15" s="374">
        <f t="shared" si="3"/>
        <v>0</v>
      </c>
      <c r="O15" s="374">
        <f t="shared" si="0"/>
        <v>6.5808990700081428E-3</v>
      </c>
      <c r="P15" s="374">
        <f t="shared" si="1"/>
        <v>0.99341910092999175</v>
      </c>
      <c r="Q15" s="374">
        <f t="shared" si="2"/>
        <v>1</v>
      </c>
    </row>
    <row r="16" spans="1:17" x14ac:dyDescent="0.3">
      <c r="A16">
        <v>11</v>
      </c>
      <c r="B16" t="s">
        <v>664</v>
      </c>
      <c r="C16" s="638" t="s">
        <v>488</v>
      </c>
      <c r="D16" s="372"/>
      <c r="E16" s="372"/>
      <c r="F16" s="372"/>
      <c r="G16" s="372"/>
      <c r="H16" s="372"/>
      <c r="I16" s="372" t="s">
        <v>52</v>
      </c>
      <c r="J16" s="372">
        <v>33168883.170000002</v>
      </c>
      <c r="K16" s="372">
        <v>33168883.170000002</v>
      </c>
      <c r="M16" s="638" t="s">
        <v>488</v>
      </c>
      <c r="N16" s="374">
        <f t="shared" si="3"/>
        <v>0</v>
      </c>
      <c r="O16" s="374"/>
      <c r="P16" s="374">
        <f t="shared" si="1"/>
        <v>1</v>
      </c>
      <c r="Q16" s="374">
        <f t="shared" si="2"/>
        <v>1</v>
      </c>
    </row>
    <row r="17" spans="1:17" x14ac:dyDescent="0.3">
      <c r="A17">
        <v>12</v>
      </c>
      <c r="B17" t="s">
        <v>665</v>
      </c>
      <c r="C17" s="638" t="s">
        <v>489</v>
      </c>
      <c r="D17" s="372">
        <v>87512.91</v>
      </c>
      <c r="E17" s="372">
        <v>87512.91</v>
      </c>
      <c r="F17" s="372">
        <v>87512.91</v>
      </c>
      <c r="G17" s="372">
        <v>87512.91</v>
      </c>
      <c r="H17" s="372">
        <v>87512.91</v>
      </c>
      <c r="I17" s="372">
        <v>1328920.6000000001</v>
      </c>
      <c r="J17" s="372">
        <v>17272392.170000002</v>
      </c>
      <c r="K17" s="372">
        <v>18688825.68</v>
      </c>
      <c r="M17" s="638" t="s">
        <v>489</v>
      </c>
      <c r="N17" s="374">
        <f t="shared" si="3"/>
        <v>4.6826329004530584E-3</v>
      </c>
      <c r="O17" s="374">
        <f t="shared" si="0"/>
        <v>7.110776368480741E-2</v>
      </c>
      <c r="P17" s="374">
        <f t="shared" si="1"/>
        <v>0.92420960341473968</v>
      </c>
      <c r="Q17" s="374">
        <f t="shared" si="2"/>
        <v>1</v>
      </c>
    </row>
    <row r="18" spans="1:17" x14ac:dyDescent="0.3">
      <c r="A18">
        <v>13</v>
      </c>
      <c r="B18" t="s">
        <v>666</v>
      </c>
      <c r="C18" s="638" t="s">
        <v>1</v>
      </c>
      <c r="D18" s="372">
        <v>3804178.65</v>
      </c>
      <c r="E18" s="372">
        <v>3804178.65</v>
      </c>
      <c r="F18" s="372">
        <v>3804178.65</v>
      </c>
      <c r="G18" s="372">
        <v>3804178.65</v>
      </c>
      <c r="H18" s="372">
        <v>3804178.65</v>
      </c>
      <c r="I18" s="372">
        <v>8821033.7599999998</v>
      </c>
      <c r="J18" s="372">
        <v>59232034.259999998</v>
      </c>
      <c r="K18" s="372">
        <v>71857246.659999996</v>
      </c>
      <c r="M18" s="638" t="s">
        <v>1</v>
      </c>
      <c r="N18" s="374">
        <f t="shared" si="3"/>
        <v>5.2940779487417114E-2</v>
      </c>
      <c r="O18" s="374">
        <f t="shared" si="0"/>
        <v>0.12275774775698872</v>
      </c>
      <c r="P18" s="374">
        <f t="shared" si="1"/>
        <v>0.82430147289475897</v>
      </c>
      <c r="Q18" s="374">
        <f t="shared" si="2"/>
        <v>1</v>
      </c>
    </row>
    <row r="19" spans="1:17" ht="27" customHeight="1" x14ac:dyDescent="0.3">
      <c r="A19">
        <v>14</v>
      </c>
      <c r="B19" t="s">
        <v>667</v>
      </c>
      <c r="C19" s="637" t="s">
        <v>2</v>
      </c>
      <c r="D19" s="372"/>
      <c r="E19" s="372"/>
      <c r="F19" s="372"/>
      <c r="G19" s="372"/>
      <c r="H19" s="372"/>
      <c r="I19" s="372">
        <v>1879632.2</v>
      </c>
      <c r="J19" s="372">
        <v>44725731.57</v>
      </c>
      <c r="K19" s="372">
        <v>46605363.780000001</v>
      </c>
      <c r="M19" s="637" t="s">
        <v>2</v>
      </c>
      <c r="N19" s="374"/>
      <c r="O19" s="374"/>
      <c r="P19" s="374"/>
      <c r="Q19" s="374"/>
    </row>
    <row r="20" spans="1:17" ht="26" x14ac:dyDescent="0.3">
      <c r="A20">
        <v>15</v>
      </c>
      <c r="B20" t="s">
        <v>668</v>
      </c>
      <c r="C20" s="637" t="s">
        <v>4</v>
      </c>
      <c r="D20" s="372">
        <v>55587276.140000001</v>
      </c>
      <c r="E20" s="372">
        <v>55587276.140000001</v>
      </c>
      <c r="F20" s="372">
        <v>55587276.140000001</v>
      </c>
      <c r="G20" s="372">
        <v>55587276.140000001</v>
      </c>
      <c r="H20" s="372">
        <v>55587276.140000001</v>
      </c>
      <c r="I20" s="372">
        <v>77860188.269999996</v>
      </c>
      <c r="J20" s="372">
        <v>193178287.80000001</v>
      </c>
      <c r="K20" s="372">
        <v>326625752.20999998</v>
      </c>
      <c r="M20" s="637" t="s">
        <v>4</v>
      </c>
      <c r="N20" s="374">
        <f t="shared" si="3"/>
        <v>0.17018644661018906</v>
      </c>
      <c r="O20" s="374">
        <f t="shared" si="0"/>
        <v>0.23837737148153815</v>
      </c>
      <c r="P20" s="374">
        <f t="shared" si="1"/>
        <v>0.59143618190827285</v>
      </c>
      <c r="Q20" s="374">
        <f t="shared" si="2"/>
        <v>1</v>
      </c>
    </row>
    <row r="21" spans="1:17" x14ac:dyDescent="0.3">
      <c r="C21" s="373"/>
      <c r="D21" s="372" t="s">
        <v>490</v>
      </c>
      <c r="E21" s="372" t="s">
        <v>490</v>
      </c>
      <c r="F21" s="372" t="s">
        <v>490</v>
      </c>
      <c r="G21" s="372" t="s">
        <v>490</v>
      </c>
      <c r="H21" s="372" t="s">
        <v>490</v>
      </c>
      <c r="I21" s="372"/>
      <c r="J21" s="372" t="s">
        <v>490</v>
      </c>
      <c r="K21" s="372"/>
      <c r="M21" s="373"/>
      <c r="N21" s="374"/>
      <c r="O21" s="374"/>
      <c r="P21" s="374"/>
      <c r="Q21" s="374"/>
    </row>
    <row r="22" spans="1:17" x14ac:dyDescent="0.3">
      <c r="C22" s="375" t="s">
        <v>491</v>
      </c>
      <c r="D22" s="393">
        <v>1873090883.3099999</v>
      </c>
      <c r="E22" s="393">
        <v>1873090883.3099999</v>
      </c>
      <c r="F22" s="393">
        <v>1873090883.3099999</v>
      </c>
      <c r="G22" s="393">
        <v>1873090883.3099999</v>
      </c>
      <c r="H22" s="393">
        <v>1873090883.3099999</v>
      </c>
      <c r="I22" s="393">
        <v>1076665863.05</v>
      </c>
      <c r="J22" s="393">
        <v>4858260980.6199999</v>
      </c>
      <c r="K22" s="393">
        <v>7808017726.9799995</v>
      </c>
      <c r="M22" s="375" t="s">
        <v>491</v>
      </c>
      <c r="N22" s="376">
        <f t="shared" si="3"/>
        <v>0.23989326725497556</v>
      </c>
      <c r="O22" s="376">
        <f t="shared" si="0"/>
        <v>0.13789234357520277</v>
      </c>
      <c r="P22" s="376">
        <f t="shared" si="1"/>
        <v>0.62221438916982164</v>
      </c>
      <c r="Q22" s="376">
        <f t="shared" si="2"/>
        <v>1</v>
      </c>
    </row>
    <row r="23" spans="1:17" x14ac:dyDescent="0.3">
      <c r="C23" t="s">
        <v>558</v>
      </c>
    </row>
    <row r="24" spans="1:17" x14ac:dyDescent="0.3">
      <c r="C24" t="s">
        <v>557</v>
      </c>
    </row>
    <row r="25" spans="1:17" x14ac:dyDescent="0.3">
      <c r="C25" t="s">
        <v>509</v>
      </c>
    </row>
    <row r="28" spans="1:17" x14ac:dyDescent="0.3">
      <c r="C28" s="398" t="s">
        <v>556</v>
      </c>
      <c r="D28" s="377" t="s">
        <v>491</v>
      </c>
      <c r="E28" s="377"/>
      <c r="F28" s="377"/>
      <c r="G28" s="377"/>
      <c r="H28" s="377"/>
      <c r="I28" s="377" t="s">
        <v>506</v>
      </c>
    </row>
    <row r="29" spans="1:17" x14ac:dyDescent="0.3">
      <c r="C29" s="401" t="s">
        <v>492</v>
      </c>
      <c r="D29" s="372">
        <v>728934301.80999994</v>
      </c>
      <c r="E29" s="372"/>
      <c r="F29" s="372"/>
      <c r="G29" s="372"/>
      <c r="H29" s="372"/>
      <c r="I29" s="362">
        <f>D29/$D$32</f>
        <v>0.22143070142675833</v>
      </c>
    </row>
    <row r="30" spans="1:17" x14ac:dyDescent="0.3">
      <c r="C30" s="401" t="s">
        <v>493</v>
      </c>
      <c r="D30" s="372">
        <v>766166686.42999995</v>
      </c>
      <c r="E30" s="372"/>
      <c r="F30" s="372"/>
      <c r="G30" s="372"/>
      <c r="H30" s="372"/>
      <c r="I30" s="362">
        <f>D30/$D$32</f>
        <v>0.23274090184087795</v>
      </c>
    </row>
    <row r="31" spans="1:17" x14ac:dyDescent="0.3">
      <c r="C31" s="401" t="s">
        <v>494</v>
      </c>
      <c r="D31" s="372">
        <v>1796828708.55</v>
      </c>
      <c r="E31" s="372"/>
      <c r="F31" s="372"/>
      <c r="G31" s="372"/>
      <c r="H31" s="372"/>
      <c r="I31" s="362">
        <f>D31/$D$32</f>
        <v>0.54582839672932593</v>
      </c>
    </row>
    <row r="32" spans="1:17" x14ac:dyDescent="0.3">
      <c r="C32" s="401" t="s">
        <v>491</v>
      </c>
      <c r="D32" s="372">
        <v>3291929696.8000002</v>
      </c>
      <c r="E32" s="372"/>
      <c r="F32" s="372"/>
      <c r="G32" s="372"/>
      <c r="H32" s="372"/>
      <c r="I32" s="362">
        <f>D32/$D$32</f>
        <v>1</v>
      </c>
    </row>
    <row r="33" spans="3:9" x14ac:dyDescent="0.3">
      <c r="C33" s="402"/>
      <c r="D33" s="372"/>
      <c r="E33" s="372"/>
      <c r="F33" s="372"/>
      <c r="G33" s="372"/>
      <c r="H33" s="372"/>
    </row>
    <row r="34" spans="3:9" x14ac:dyDescent="0.3">
      <c r="C34" s="402"/>
      <c r="D34" s="372"/>
      <c r="E34" s="372"/>
      <c r="F34" s="372"/>
      <c r="G34" s="372"/>
      <c r="H34" s="372"/>
    </row>
    <row r="35" spans="3:9" x14ac:dyDescent="0.3">
      <c r="C35" s="403" t="s">
        <v>544</v>
      </c>
      <c r="D35" s="394" t="s">
        <v>491</v>
      </c>
      <c r="E35" s="394"/>
      <c r="F35" s="394"/>
      <c r="G35" s="394"/>
      <c r="H35" s="394"/>
      <c r="I35" s="377" t="s">
        <v>506</v>
      </c>
    </row>
    <row r="36" spans="3:9" x14ac:dyDescent="0.3">
      <c r="C36" s="401" t="s">
        <v>492</v>
      </c>
      <c r="D36" s="372">
        <v>223154370.47999999</v>
      </c>
      <c r="E36" s="372"/>
      <c r="F36" s="372"/>
      <c r="G36" s="372"/>
      <c r="H36" s="372"/>
      <c r="I36" s="362">
        <f>D36/$D$39</f>
        <v>0.13504104783145512</v>
      </c>
    </row>
    <row r="37" spans="3:9" x14ac:dyDescent="0.3">
      <c r="C37" s="401" t="s">
        <v>493</v>
      </c>
      <c r="D37" s="372">
        <v>368369956.44</v>
      </c>
      <c r="E37" s="372"/>
      <c r="F37" s="372"/>
      <c r="G37" s="372"/>
      <c r="H37" s="372"/>
      <c r="I37" s="362">
        <f>D37/$D$39</f>
        <v>0.22291772641640212</v>
      </c>
    </row>
    <row r="38" spans="3:9" x14ac:dyDescent="0.3">
      <c r="C38" s="401" t="s">
        <v>494</v>
      </c>
      <c r="D38" s="372">
        <v>1060968556.27</v>
      </c>
      <c r="E38" s="372"/>
      <c r="F38" s="372"/>
      <c r="G38" s="372"/>
      <c r="H38" s="372"/>
      <c r="I38" s="362">
        <f>D38/$D$39</f>
        <v>0.64204122575214273</v>
      </c>
    </row>
    <row r="39" spans="3:9" x14ac:dyDescent="0.3">
      <c r="C39" s="401" t="s">
        <v>491</v>
      </c>
      <c r="D39" s="372">
        <v>1652492883.1900001</v>
      </c>
      <c r="E39" s="372"/>
      <c r="F39" s="372"/>
      <c r="G39" s="372"/>
      <c r="H39" s="372"/>
      <c r="I39" s="362">
        <f>D39/$D$39</f>
        <v>1</v>
      </c>
    </row>
    <row r="40" spans="3:9" x14ac:dyDescent="0.3">
      <c r="C40" s="404"/>
      <c r="D40" s="372"/>
      <c r="E40" s="372"/>
      <c r="F40" s="372"/>
      <c r="G40" s="372"/>
      <c r="H40" s="372"/>
    </row>
    <row r="41" spans="3:9" x14ac:dyDescent="0.3">
      <c r="C41" s="404"/>
      <c r="D41" s="372"/>
      <c r="E41" s="372"/>
      <c r="F41" s="372"/>
      <c r="G41" s="372"/>
      <c r="H41" s="372"/>
    </row>
    <row r="42" spans="3:9" x14ac:dyDescent="0.3">
      <c r="C42" s="403" t="s">
        <v>545</v>
      </c>
      <c r="D42" s="394" t="s">
        <v>491</v>
      </c>
      <c r="E42" s="394"/>
      <c r="F42" s="394"/>
      <c r="G42" s="394"/>
      <c r="H42" s="394"/>
      <c r="I42" s="377" t="s">
        <v>506</v>
      </c>
    </row>
    <row r="43" spans="3:9" x14ac:dyDescent="0.3">
      <c r="C43" s="401" t="s">
        <v>492</v>
      </c>
      <c r="D43" s="372">
        <v>505779931.31999999</v>
      </c>
      <c r="E43" s="372"/>
      <c r="F43" s="372"/>
      <c r="G43" s="372"/>
      <c r="H43" s="372"/>
      <c r="I43" s="362">
        <f>D43/$D$46</f>
        <v>0.30850834078230877</v>
      </c>
    </row>
    <row r="44" spans="3:9" x14ac:dyDescent="0.3">
      <c r="C44" s="401" t="s">
        <v>493</v>
      </c>
      <c r="D44" s="372">
        <v>397796730.27999997</v>
      </c>
      <c r="E44" s="372"/>
      <c r="F44" s="372"/>
      <c r="G44" s="372"/>
      <c r="H44" s="372"/>
      <c r="I44" s="362">
        <f>D44/$D$46</f>
        <v>0.24264230671830447</v>
      </c>
    </row>
    <row r="45" spans="3:9" x14ac:dyDescent="0.3">
      <c r="C45" s="401" t="s">
        <v>494</v>
      </c>
      <c r="D45" s="372">
        <v>735860152.45000005</v>
      </c>
      <c r="E45" s="372"/>
      <c r="F45" s="372"/>
      <c r="G45" s="372"/>
      <c r="H45" s="372"/>
      <c r="I45" s="362">
        <f>D45/$D$46</f>
        <v>0.44884935249938679</v>
      </c>
    </row>
    <row r="46" spans="3:9" x14ac:dyDescent="0.3">
      <c r="C46" s="401" t="s">
        <v>491</v>
      </c>
      <c r="D46" s="372">
        <v>1639436814.05</v>
      </c>
      <c r="E46" s="372"/>
      <c r="F46" s="372"/>
      <c r="G46" s="372"/>
      <c r="H46" s="372"/>
      <c r="I46" s="362">
        <f>D46/$D$46</f>
        <v>1</v>
      </c>
    </row>
    <row r="48" spans="3:9" x14ac:dyDescent="0.3">
      <c r="C48" s="383" t="s">
        <v>546</v>
      </c>
      <c r="D48" s="383"/>
      <c r="E48" s="383"/>
      <c r="F48" s="383"/>
      <c r="G48" s="383"/>
      <c r="H48" s="383"/>
    </row>
    <row r="49" spans="3:9" x14ac:dyDescent="0.3">
      <c r="C49" s="400" t="s">
        <v>492</v>
      </c>
      <c r="D49" s="405">
        <f>+D43/(D43+D36)</f>
        <v>0.69386216298375336</v>
      </c>
      <c r="E49" s="405"/>
      <c r="F49" s="405"/>
      <c r="G49" s="405"/>
      <c r="H49" s="405"/>
    </row>
    <row r="50" spans="3:9" x14ac:dyDescent="0.3">
      <c r="C50" s="400" t="s">
        <v>493</v>
      </c>
      <c r="D50" s="405">
        <f>+D44/(D44+D37)</f>
        <v>0.51920389802249001</v>
      </c>
      <c r="E50" s="405"/>
      <c r="F50" s="405"/>
      <c r="G50" s="405"/>
      <c r="H50" s="405"/>
    </row>
    <row r="51" spans="3:9" x14ac:dyDescent="0.3">
      <c r="C51" s="400" t="s">
        <v>494</v>
      </c>
      <c r="D51" s="405">
        <f>+D45/(D45+D38)</f>
        <v>0.40953272222269976</v>
      </c>
      <c r="E51" s="405"/>
      <c r="F51" s="405"/>
      <c r="G51" s="405"/>
      <c r="H51" s="405"/>
    </row>
    <row r="52" spans="3:9" x14ac:dyDescent="0.3">
      <c r="C52" s="400" t="s">
        <v>491</v>
      </c>
      <c r="D52" s="405">
        <f>+D46/(D46+D39)</f>
        <v>0.49801695808526131</v>
      </c>
      <c r="E52" s="405"/>
      <c r="F52" s="405"/>
      <c r="G52" s="405"/>
      <c r="H52" s="405"/>
    </row>
    <row r="56" spans="3:9" x14ac:dyDescent="0.3">
      <c r="C56" s="398" t="s">
        <v>538</v>
      </c>
      <c r="D56" s="377" t="s">
        <v>547</v>
      </c>
      <c r="E56" s="377"/>
      <c r="F56" s="377"/>
      <c r="G56" s="377"/>
      <c r="H56" s="377"/>
      <c r="I56" s="377" t="s">
        <v>506</v>
      </c>
    </row>
    <row r="57" spans="3:9" x14ac:dyDescent="0.3">
      <c r="C57" s="370" t="s">
        <v>552</v>
      </c>
      <c r="D57" s="369">
        <v>919032487.04999995</v>
      </c>
      <c r="E57" s="369"/>
      <c r="F57" s="369"/>
      <c r="G57" s="369"/>
      <c r="H57" s="369"/>
      <c r="I57" s="371">
        <f>+D57/$D$63</f>
        <v>0.31862202639175513</v>
      </c>
    </row>
    <row r="58" spans="3:9" x14ac:dyDescent="0.3">
      <c r="C58" s="373" t="s">
        <v>553</v>
      </c>
      <c r="D58" s="372">
        <v>317384062.66000003</v>
      </c>
      <c r="E58" s="372"/>
      <c r="F58" s="372"/>
      <c r="G58" s="372"/>
      <c r="H58" s="372"/>
      <c r="I58" s="374">
        <f t="shared" ref="I58:I66" si="4">+D58/$D$63</f>
        <v>0.11003479704376899</v>
      </c>
    </row>
    <row r="59" spans="3:9" x14ac:dyDescent="0.3">
      <c r="C59" s="373" t="s">
        <v>554</v>
      </c>
      <c r="D59" s="372">
        <v>1633243656.4100001</v>
      </c>
      <c r="E59" s="372"/>
      <c r="F59" s="372"/>
      <c r="G59" s="372"/>
      <c r="H59" s="372"/>
      <c r="I59" s="374">
        <f t="shared" si="4"/>
        <v>0.56623395878770721</v>
      </c>
    </row>
    <row r="60" spans="3:9" x14ac:dyDescent="0.3">
      <c r="C60" s="373" t="s">
        <v>550</v>
      </c>
      <c r="D60" s="372">
        <v>10270230.26</v>
      </c>
      <c r="E60" s="372"/>
      <c r="F60" s="372"/>
      <c r="G60" s="372"/>
      <c r="H60" s="372"/>
      <c r="I60" s="374">
        <f t="shared" si="4"/>
        <v>3.5606157813364565E-3</v>
      </c>
    </row>
    <row r="61" spans="3:9" x14ac:dyDescent="0.3">
      <c r="C61" s="373" t="s">
        <v>551</v>
      </c>
      <c r="D61" s="372">
        <v>4466783.29</v>
      </c>
      <c r="E61" s="372"/>
      <c r="F61" s="372"/>
      <c r="G61" s="372"/>
      <c r="H61" s="372"/>
      <c r="I61" s="374">
        <f t="shared" si="4"/>
        <v>1.5486019954321821E-3</v>
      </c>
    </row>
    <row r="62" spans="3:9" x14ac:dyDescent="0.3">
      <c r="C62" s="373"/>
      <c r="D62" s="372" t="s">
        <v>490</v>
      </c>
      <c r="E62" s="372"/>
      <c r="F62" s="372"/>
      <c r="G62" s="372"/>
      <c r="H62" s="372"/>
      <c r="I62" s="374"/>
    </row>
    <row r="63" spans="3:9" x14ac:dyDescent="0.3">
      <c r="C63" s="373" t="s">
        <v>491</v>
      </c>
      <c r="D63" s="372">
        <v>2884397219.6700001</v>
      </c>
      <c r="E63" s="372"/>
      <c r="F63" s="372"/>
      <c r="G63" s="372"/>
      <c r="H63" s="372"/>
      <c r="I63" s="374">
        <f t="shared" si="4"/>
        <v>1</v>
      </c>
    </row>
    <row r="64" spans="3:9" x14ac:dyDescent="0.3">
      <c r="C64" s="373"/>
      <c r="D64" s="372"/>
      <c r="E64" s="372"/>
      <c r="F64" s="372"/>
      <c r="G64" s="372"/>
      <c r="H64" s="372"/>
      <c r="I64" s="374"/>
    </row>
    <row r="65" spans="3:9" x14ac:dyDescent="0.3">
      <c r="C65" s="373" t="s">
        <v>548</v>
      </c>
      <c r="D65" s="372">
        <f>+D58+D57</f>
        <v>1236416549.71</v>
      </c>
      <c r="E65" s="372"/>
      <c r="F65" s="372"/>
      <c r="G65" s="372"/>
      <c r="H65" s="372"/>
      <c r="I65" s="374">
        <f t="shared" si="4"/>
        <v>0.42865682343552419</v>
      </c>
    </row>
    <row r="66" spans="3:9" x14ac:dyDescent="0.3">
      <c r="C66" s="375" t="s">
        <v>549</v>
      </c>
      <c r="D66" s="393">
        <f>+SUM(D59:D61)</f>
        <v>1647980669.96</v>
      </c>
      <c r="E66" s="393"/>
      <c r="F66" s="393"/>
      <c r="G66" s="393"/>
      <c r="H66" s="393"/>
      <c r="I66" s="376">
        <f t="shared" si="4"/>
        <v>0.57134317656447586</v>
      </c>
    </row>
    <row r="68" spans="3:9" ht="65" x14ac:dyDescent="0.3">
      <c r="C68" s="386">
        <f>+'ingresos (laborales)'!D66/'ingresos (laborales)'!D65</f>
        <v>1.3328684983604691</v>
      </c>
      <c r="D68" s="384" t="s">
        <v>555</v>
      </c>
      <c r="E68" s="384"/>
      <c r="F68" s="384"/>
      <c r="G68" s="384"/>
      <c r="H68" s="384"/>
    </row>
    <row r="86" spans="4:4" x14ac:dyDescent="0.3">
      <c r="D86" s="431"/>
    </row>
    <row r="87" spans="4:4" x14ac:dyDescent="0.3">
      <c r="D87" s="431"/>
    </row>
    <row r="88" spans="4:4" x14ac:dyDescent="0.3">
      <c r="D88" s="431"/>
    </row>
    <row r="89" spans="4:4" x14ac:dyDescent="0.3">
      <c r="D89" s="431"/>
    </row>
    <row r="90" spans="4:4" x14ac:dyDescent="0.3">
      <c r="D90" s="431"/>
    </row>
    <row r="91" spans="4:4" x14ac:dyDescent="0.3">
      <c r="D91" s="431"/>
    </row>
    <row r="92" spans="4:4" x14ac:dyDescent="0.3">
      <c r="D92" s="431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8DBE3-7B33-41FA-BB18-1D93EA81E462}">
  <dimension ref="B1:K36"/>
  <sheetViews>
    <sheetView topLeftCell="A16" workbookViewId="0">
      <selection activeCell="C35" sqref="C35:C44"/>
    </sheetView>
  </sheetViews>
  <sheetFormatPr defaultColWidth="12" defaultRowHeight="13" x14ac:dyDescent="0.3"/>
  <cols>
    <col min="1" max="1" width="12" style="209" customWidth="1"/>
    <col min="2" max="2" width="30.109375" style="209" customWidth="1"/>
    <col min="3" max="3" width="18.109375" style="209" customWidth="1"/>
    <col min="4" max="4" width="12.6640625" style="209" bestFit="1" customWidth="1"/>
    <col min="5" max="5" width="12.6640625" style="209" customWidth="1"/>
    <col min="6" max="7" width="16.109375" style="209" customWidth="1"/>
    <col min="8" max="16384" width="12" style="209"/>
  </cols>
  <sheetData>
    <row r="1" spans="2:11" x14ac:dyDescent="0.3">
      <c r="B1" s="209" t="s">
        <v>202</v>
      </c>
    </row>
    <row r="3" spans="2:11" x14ac:dyDescent="0.3">
      <c r="B3" s="396" t="s">
        <v>538</v>
      </c>
      <c r="C3" s="396" t="s">
        <v>499</v>
      </c>
      <c r="D3" s="838" t="s">
        <v>498</v>
      </c>
      <c r="E3" s="838"/>
      <c r="F3" s="396" t="s">
        <v>512</v>
      </c>
      <c r="G3" s="395"/>
    </row>
    <row r="4" spans="2:11" s="365" customFormat="1" x14ac:dyDescent="0.3">
      <c r="B4" s="397"/>
      <c r="C4" s="397"/>
      <c r="D4" s="394" t="s">
        <v>496</v>
      </c>
      <c r="E4" s="394" t="s">
        <v>497</v>
      </c>
      <c r="F4" s="397"/>
      <c r="G4" s="395"/>
    </row>
    <row r="5" spans="2:11" x14ac:dyDescent="0.3">
      <c r="B5" s="671" t="s">
        <v>669</v>
      </c>
      <c r="C5" s="372"/>
      <c r="D5" s="372">
        <f>+'transferencias gobieno'!I2</f>
        <v>1037118372</v>
      </c>
      <c r="E5" s="372">
        <f>+'transferencias gobieno'!J2</f>
        <v>353266578</v>
      </c>
      <c r="F5" s="372">
        <f>+'transferencias gobieno'!E19</f>
        <v>17122050017</v>
      </c>
      <c r="H5" s="360"/>
    </row>
    <row r="6" spans="2:11" x14ac:dyDescent="0.3">
      <c r="B6" s="671" t="s">
        <v>670</v>
      </c>
      <c r="C6" s="372"/>
      <c r="D6" s="372">
        <f>+'transferencias gobieno'!I3</f>
        <v>151812764</v>
      </c>
      <c r="E6" s="372">
        <f>+'transferencias gobieno'!J3</f>
        <v>21780470</v>
      </c>
      <c r="F6" s="372">
        <f>+'transferencias gobieno'!E20</f>
        <v>3133934010</v>
      </c>
      <c r="H6" s="360"/>
    </row>
    <row r="7" spans="2:11" x14ac:dyDescent="0.3">
      <c r="B7" s="671" t="s">
        <v>675</v>
      </c>
      <c r="C7" s="372"/>
      <c r="D7" s="372">
        <f>+'transferencias gobieno'!I4</f>
        <v>655294630</v>
      </c>
      <c r="E7" s="372">
        <f>+'transferencias gobieno'!J4</f>
        <v>42828032</v>
      </c>
      <c r="F7" s="372">
        <f>+'transferencias gobieno'!E21</f>
        <v>12260483538</v>
      </c>
      <c r="H7" s="360"/>
    </row>
    <row r="8" spans="2:11" x14ac:dyDescent="0.3">
      <c r="B8" s="671" t="s">
        <v>671</v>
      </c>
      <c r="C8" s="372"/>
      <c r="D8" s="372">
        <f>+'transferencias gobieno'!I5</f>
        <v>420502728</v>
      </c>
      <c r="E8" s="372">
        <f>+'transferencias gobieno'!J5</f>
        <v>6534606</v>
      </c>
      <c r="F8" s="372">
        <f>+'transferencias gobieno'!E22</f>
        <v>9927852333</v>
      </c>
      <c r="H8" s="360"/>
    </row>
    <row r="9" spans="2:11" x14ac:dyDescent="0.3">
      <c r="B9" s="671" t="s">
        <v>672</v>
      </c>
      <c r="C9" s="372"/>
      <c r="D9" s="372">
        <f>+'transferencias gobieno'!I6</f>
        <v>188365240</v>
      </c>
      <c r="E9" s="372">
        <f>+'transferencias gobieno'!J6</f>
        <v>28849400</v>
      </c>
      <c r="F9" s="372">
        <f>+'transferencias gobieno'!E23</f>
        <v>5218545953</v>
      </c>
      <c r="H9" s="360"/>
    </row>
    <row r="10" spans="2:11" x14ac:dyDescent="0.3">
      <c r="B10" s="671" t="s">
        <v>673</v>
      </c>
      <c r="C10" s="372"/>
      <c r="D10" s="372">
        <f>+'transferencias gobieno'!I7</f>
        <v>81679838</v>
      </c>
      <c r="E10" s="372">
        <f>+'transferencias gobieno'!J7</f>
        <v>1676824</v>
      </c>
      <c r="F10" s="372">
        <f>+'transferencias gobieno'!E24</f>
        <v>3423372437</v>
      </c>
      <c r="H10" s="360"/>
    </row>
    <row r="11" spans="2:11" x14ac:dyDescent="0.3">
      <c r="B11" s="671" t="s">
        <v>674</v>
      </c>
      <c r="C11" s="372"/>
      <c r="D11" s="372">
        <f>+'transferencias gobieno'!I8</f>
        <v>1901673501</v>
      </c>
      <c r="E11" s="372">
        <f>+'transferencias gobieno'!J8</f>
        <v>1169931351</v>
      </c>
      <c r="F11" s="372">
        <f>+'transferencias gobieno'!E25</f>
        <v>44759929496</v>
      </c>
      <c r="H11" s="360"/>
    </row>
    <row r="12" spans="2:11" x14ac:dyDescent="0.3">
      <c r="B12" s="372"/>
      <c r="C12" s="372"/>
      <c r="D12" s="372" t="s">
        <v>490</v>
      </c>
      <c r="E12" s="372"/>
      <c r="F12" s="372"/>
      <c r="H12" s="360"/>
    </row>
    <row r="13" spans="2:11" x14ac:dyDescent="0.3">
      <c r="B13" s="706" t="s">
        <v>491</v>
      </c>
      <c r="C13" s="706"/>
      <c r="D13" s="706">
        <f>+SUM(D5:D11)</f>
        <v>4436447073</v>
      </c>
      <c r="E13" s="706">
        <f>+SUM(E5:E11)</f>
        <v>1624867261</v>
      </c>
      <c r="F13" s="706">
        <f>+SUM(F5:F11)</f>
        <v>95846167784</v>
      </c>
      <c r="H13" s="360"/>
    </row>
    <row r="14" spans="2:11" x14ac:dyDescent="0.3">
      <c r="J14" s="362"/>
      <c r="K14" s="362"/>
    </row>
    <row r="15" spans="2:11" x14ac:dyDescent="0.3">
      <c r="B15" s="372"/>
      <c r="C15" s="372"/>
      <c r="D15" s="372"/>
      <c r="E15" s="372"/>
      <c r="F15" s="372"/>
      <c r="G15" s="372"/>
      <c r="H15" s="372"/>
    </row>
    <row r="16" spans="2:11" x14ac:dyDescent="0.3">
      <c r="B16" s="209" t="s">
        <v>500</v>
      </c>
      <c r="F16"/>
      <c r="G16"/>
    </row>
    <row r="17" spans="2:9" s="365" customFormat="1" x14ac:dyDescent="0.3">
      <c r="B17" s="396" t="s">
        <v>538</v>
      </c>
      <c r="C17" s="396" t="s">
        <v>499</v>
      </c>
      <c r="D17" s="838" t="s">
        <v>498</v>
      </c>
      <c r="E17" s="838"/>
      <c r="F17" s="396" t="s">
        <v>512</v>
      </c>
    </row>
    <row r="18" spans="2:9" s="365" customFormat="1" x14ac:dyDescent="0.3">
      <c r="B18" s="397"/>
      <c r="C18" s="397"/>
      <c r="D18" s="394" t="s">
        <v>496</v>
      </c>
      <c r="E18" s="394" t="s">
        <v>497</v>
      </c>
      <c r="F18" s="397"/>
    </row>
    <row r="19" spans="2:9" x14ac:dyDescent="0.3">
      <c r="B19" s="671" t="s">
        <v>669</v>
      </c>
      <c r="C19" s="387">
        <v>0.12174552160248864</v>
      </c>
      <c r="D19" s="387">
        <f t="shared" ref="D19:E21" si="0">D5/D$13</f>
        <v>0.23377228555522542</v>
      </c>
      <c r="E19" s="387">
        <f t="shared" si="0"/>
        <v>0.21741257669416481</v>
      </c>
      <c r="F19" s="387">
        <v>0.11469708647797262</v>
      </c>
      <c r="G19" s="360"/>
    </row>
    <row r="20" spans="2:9" x14ac:dyDescent="0.3">
      <c r="B20" s="671" t="s">
        <v>670</v>
      </c>
      <c r="C20" s="387">
        <v>0.12174552160248864</v>
      </c>
      <c r="D20" s="387">
        <f t="shared" si="0"/>
        <v>3.4219446665762127E-2</v>
      </c>
      <c r="E20" s="387">
        <f t="shared" si="0"/>
        <v>1.3404461104469259E-2</v>
      </c>
      <c r="F20" s="387">
        <v>1.1146970864779699</v>
      </c>
      <c r="G20" s="360"/>
    </row>
    <row r="21" spans="2:9" x14ac:dyDescent="0.3">
      <c r="B21" s="671" t="s">
        <v>675</v>
      </c>
      <c r="C21" s="387">
        <v>0.12174552160248864</v>
      </c>
      <c r="D21" s="387">
        <f t="shared" si="0"/>
        <v>0.14770707713117803</v>
      </c>
      <c r="E21" s="387">
        <f t="shared" si="0"/>
        <v>2.6357865056399827E-2</v>
      </c>
      <c r="F21" s="387">
        <v>2.1146970864779702</v>
      </c>
      <c r="G21" s="360"/>
    </row>
    <row r="22" spans="2:9" x14ac:dyDescent="0.3">
      <c r="B22" s="671" t="s">
        <v>671</v>
      </c>
      <c r="C22" s="387">
        <v>0.12174552160248864</v>
      </c>
      <c r="D22" s="387">
        <f>D8/D$13</f>
        <v>9.4783668345591016E-2</v>
      </c>
      <c r="E22" s="387">
        <f>E8/E$13</f>
        <v>4.0216245085634723E-3</v>
      </c>
      <c r="F22" s="387">
        <v>3.1146970864779702</v>
      </c>
      <c r="G22" s="360"/>
    </row>
    <row r="23" spans="2:9" x14ac:dyDescent="0.3">
      <c r="B23" s="671" t="s">
        <v>672</v>
      </c>
      <c r="C23" s="387">
        <v>0.12174552160248864</v>
      </c>
      <c r="D23" s="387">
        <f>D9/D$13</f>
        <v>4.2458579331731833E-2</v>
      </c>
      <c r="E23" s="387">
        <f>E9/E$13</f>
        <v>1.7754927243869185E-2</v>
      </c>
      <c r="F23" s="387">
        <v>4.1146970864779702</v>
      </c>
      <c r="G23" s="360"/>
    </row>
    <row r="24" spans="2:9" x14ac:dyDescent="0.3">
      <c r="B24" s="671" t="s">
        <v>673</v>
      </c>
      <c r="C24" s="387">
        <v>9.0781218177871353E-2</v>
      </c>
      <c r="D24" s="387">
        <f t="shared" ref="D24:E27" si="1">D10/D$13</f>
        <v>1.8411092627949852E-2</v>
      </c>
      <c r="E24" s="387">
        <f t="shared" si="1"/>
        <v>1.0319759898221002E-3</v>
      </c>
      <c r="F24" s="387">
        <v>0.49127510941397368</v>
      </c>
      <c r="G24" s="360"/>
    </row>
    <row r="25" spans="2:9" x14ac:dyDescent="0.3">
      <c r="B25" s="671" t="s">
        <v>674</v>
      </c>
      <c r="C25" s="387">
        <v>0.30049117380968537</v>
      </c>
      <c r="D25" s="387">
        <f t="shared" si="1"/>
        <v>0.4286478503425617</v>
      </c>
      <c r="E25" s="387">
        <f t="shared" si="1"/>
        <v>0.7200165694027113</v>
      </c>
      <c r="F25" s="387">
        <v>0.39402780410773675</v>
      </c>
      <c r="G25" s="360"/>
    </row>
    <row r="26" spans="2:9" x14ac:dyDescent="0.3">
      <c r="B26" s="372"/>
      <c r="C26" s="387"/>
      <c r="D26" s="387"/>
      <c r="E26" s="387"/>
      <c r="F26" s="387"/>
      <c r="G26" s="360"/>
    </row>
    <row r="27" spans="2:9" x14ac:dyDescent="0.3">
      <c r="B27" s="393" t="s">
        <v>491</v>
      </c>
      <c r="C27" s="388">
        <v>1</v>
      </c>
      <c r="D27" s="388">
        <f t="shared" si="1"/>
        <v>1</v>
      </c>
      <c r="E27" s="388">
        <f t="shared" si="1"/>
        <v>1</v>
      </c>
      <c r="F27" s="388">
        <v>1</v>
      </c>
      <c r="G27" s="360"/>
    </row>
    <row r="29" spans="2:9" x14ac:dyDescent="0.3">
      <c r="B29" s="209" t="s">
        <v>676</v>
      </c>
    </row>
    <row r="31" spans="2:9" x14ac:dyDescent="0.3">
      <c r="B31" s="707" t="s">
        <v>499</v>
      </c>
      <c r="C31" s="708">
        <v>0.12174552160248864</v>
      </c>
      <c r="D31" s="708">
        <v>0.12174552160248864</v>
      </c>
      <c r="E31" s="708">
        <v>0.12174552160248864</v>
      </c>
      <c r="F31" s="708">
        <v>0.12174552160248864</v>
      </c>
      <c r="G31" s="708">
        <v>0.12174552160248864</v>
      </c>
      <c r="H31" s="708">
        <v>9.0781218177871353E-2</v>
      </c>
      <c r="I31" s="708">
        <v>0.30049117380968537</v>
      </c>
    </row>
    <row r="32" spans="2:9" x14ac:dyDescent="0.3">
      <c r="B32" s="746"/>
      <c r="C32" s="746"/>
      <c r="D32" s="746"/>
      <c r="E32" s="746"/>
      <c r="F32" s="746"/>
    </row>
    <row r="33" spans="2:6" x14ac:dyDescent="0.3">
      <c r="B33" s="746"/>
      <c r="C33" s="746"/>
      <c r="D33" s="746"/>
      <c r="E33" s="746"/>
      <c r="F33" s="746"/>
    </row>
    <row r="34" spans="2:6" x14ac:dyDescent="0.3">
      <c r="B34" s="746"/>
      <c r="C34" s="746"/>
      <c r="D34" s="746"/>
      <c r="E34" s="746"/>
      <c r="F34" s="746"/>
    </row>
    <row r="35" spans="2:6" x14ac:dyDescent="0.3">
      <c r="B35" s="746"/>
      <c r="C35" s="746"/>
      <c r="D35" s="746"/>
      <c r="E35" s="746"/>
      <c r="F35" s="746"/>
    </row>
    <row r="36" spans="2:6" x14ac:dyDescent="0.3">
      <c r="B36" s="746"/>
      <c r="C36" s="746"/>
      <c r="D36" s="746"/>
      <c r="E36" s="746"/>
      <c r="F36" s="746"/>
    </row>
  </sheetData>
  <mergeCells count="2">
    <mergeCell ref="D3:E3"/>
    <mergeCell ref="D17:E17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ECDD3-705B-4160-9D35-AA46FDB1BF73}">
  <dimension ref="A1:F98"/>
  <sheetViews>
    <sheetView workbookViewId="0">
      <selection activeCell="D36" sqref="D36"/>
    </sheetView>
  </sheetViews>
  <sheetFormatPr defaultColWidth="12" defaultRowHeight="13" x14ac:dyDescent="0.3"/>
  <cols>
    <col min="1" max="1" width="97" style="372" bestFit="1" customWidth="1"/>
    <col min="2" max="2" width="10" style="516" customWidth="1"/>
    <col min="3" max="3" width="8.6640625" style="516" bestFit="1" customWidth="1"/>
    <col min="4" max="4" width="11.44140625" style="516" bestFit="1" customWidth="1"/>
    <col min="5" max="5" width="11.44140625" style="516" customWidth="1"/>
    <col min="6" max="16384" width="12" style="372"/>
  </cols>
  <sheetData>
    <row r="1" spans="1:6" ht="28.5" customHeight="1" x14ac:dyDescent="0.3">
      <c r="A1" s="372" t="s">
        <v>123</v>
      </c>
    </row>
    <row r="3" spans="1:6" x14ac:dyDescent="0.3">
      <c r="A3" s="372" t="s">
        <v>124</v>
      </c>
      <c r="B3" s="516" t="s">
        <v>490</v>
      </c>
      <c r="C3" s="516" t="s">
        <v>166</v>
      </c>
      <c r="D3" s="516" t="s">
        <v>166</v>
      </c>
      <c r="E3" s="516" t="s">
        <v>166</v>
      </c>
      <c r="F3" s="372" t="s">
        <v>166</v>
      </c>
    </row>
    <row r="4" spans="1:6" x14ac:dyDescent="0.3">
      <c r="A4" s="372" t="s">
        <v>125</v>
      </c>
      <c r="B4" s="516" t="s">
        <v>166</v>
      </c>
      <c r="C4" s="516" t="s">
        <v>166</v>
      </c>
      <c r="D4" s="516" t="s">
        <v>166</v>
      </c>
      <c r="E4" s="516" t="s">
        <v>166</v>
      </c>
    </row>
    <row r="5" spans="1:6" x14ac:dyDescent="0.3">
      <c r="A5" s="372" t="s">
        <v>166</v>
      </c>
      <c r="B5" s="516" t="s">
        <v>166</v>
      </c>
      <c r="C5" s="516" t="s">
        <v>166</v>
      </c>
      <c r="D5" s="516" t="s">
        <v>166</v>
      </c>
      <c r="E5" s="516" t="s">
        <v>166</v>
      </c>
    </row>
    <row r="6" spans="1:6" x14ac:dyDescent="0.3">
      <c r="A6" s="372" t="s">
        <v>126</v>
      </c>
      <c r="B6" s="516" t="s">
        <v>491</v>
      </c>
      <c r="C6" s="516" t="s">
        <v>127</v>
      </c>
      <c r="E6" s="516" t="s">
        <v>128</v>
      </c>
    </row>
    <row r="7" spans="1:6" x14ac:dyDescent="0.3">
      <c r="A7" s="372" t="s">
        <v>129</v>
      </c>
      <c r="B7" s="516" t="s">
        <v>166</v>
      </c>
      <c r="C7" s="516" t="s">
        <v>130</v>
      </c>
      <c r="D7" s="516" t="s">
        <v>131</v>
      </c>
      <c r="E7" s="516" t="s">
        <v>127</v>
      </c>
    </row>
    <row r="8" spans="1:6" x14ac:dyDescent="0.3">
      <c r="A8" s="372" t="s">
        <v>166</v>
      </c>
      <c r="B8" s="516" t="s">
        <v>166</v>
      </c>
      <c r="C8" s="516" t="s">
        <v>166</v>
      </c>
      <c r="D8" s="516" t="s">
        <v>166</v>
      </c>
      <c r="E8" s="516" t="s">
        <v>166</v>
      </c>
    </row>
    <row r="9" spans="1:6" x14ac:dyDescent="0.3">
      <c r="A9" s="372" t="s">
        <v>445</v>
      </c>
      <c r="B9" s="516">
        <v>5729</v>
      </c>
      <c r="C9" s="516">
        <v>5.4710000000000001</v>
      </c>
      <c r="D9" s="516">
        <v>3.863</v>
      </c>
      <c r="E9" s="516">
        <v>7.2060000000000004</v>
      </c>
    </row>
    <row r="10" spans="1:6" x14ac:dyDescent="0.3">
      <c r="A10" s="372" t="s">
        <v>132</v>
      </c>
      <c r="B10" s="516">
        <v>82</v>
      </c>
      <c r="C10" s="516">
        <v>90</v>
      </c>
      <c r="D10" s="516">
        <v>23</v>
      </c>
      <c r="E10" s="516">
        <v>59</v>
      </c>
    </row>
    <row r="11" spans="1:6" x14ac:dyDescent="0.3">
      <c r="A11" s="372" t="s">
        <v>133</v>
      </c>
      <c r="B11" s="516">
        <v>2626</v>
      </c>
      <c r="C11" s="516">
        <v>2.6110000000000002</v>
      </c>
      <c r="D11" s="516">
        <v>1.8979999999999999</v>
      </c>
      <c r="E11" s="516">
        <v>2.8250000000000002</v>
      </c>
    </row>
    <row r="12" spans="1:6" x14ac:dyDescent="0.3">
      <c r="A12" s="372" t="s">
        <v>134</v>
      </c>
      <c r="B12" s="516">
        <v>1404</v>
      </c>
      <c r="C12" s="516">
        <v>1.575</v>
      </c>
      <c r="D12" s="516">
        <v>686</v>
      </c>
      <c r="E12" s="516">
        <v>789</v>
      </c>
    </row>
    <row r="13" spans="1:6" x14ac:dyDescent="0.3">
      <c r="A13" s="372" t="s">
        <v>135</v>
      </c>
      <c r="B13" s="516">
        <v>989</v>
      </c>
      <c r="C13" s="516">
        <v>839</v>
      </c>
      <c r="D13" s="516">
        <v>614</v>
      </c>
      <c r="E13" s="516">
        <v>1.712</v>
      </c>
    </row>
    <row r="14" spans="1:6" x14ac:dyDescent="0.3">
      <c r="A14" s="372" t="s">
        <v>136</v>
      </c>
      <c r="B14" s="516">
        <v>356</v>
      </c>
      <c r="C14" s="516">
        <v>183</v>
      </c>
      <c r="D14" s="516">
        <v>380</v>
      </c>
      <c r="E14" s="516">
        <v>1.1080000000000001</v>
      </c>
    </row>
    <row r="15" spans="1:6" x14ac:dyDescent="0.3">
      <c r="A15" s="372" t="s">
        <v>137</v>
      </c>
      <c r="B15" s="516">
        <v>273</v>
      </c>
      <c r="C15" s="516">
        <v>172</v>
      </c>
      <c r="D15" s="516">
        <v>262</v>
      </c>
      <c r="E15" s="516">
        <v>713</v>
      </c>
    </row>
    <row r="16" spans="1:6" x14ac:dyDescent="0.3">
      <c r="A16" s="372" t="s">
        <v>166</v>
      </c>
      <c r="B16" s="516" t="s">
        <v>166</v>
      </c>
      <c r="C16" s="516" t="s">
        <v>166</v>
      </c>
      <c r="D16" s="516" t="s">
        <v>166</v>
      </c>
      <c r="E16" s="516" t="s">
        <v>166</v>
      </c>
    </row>
    <row r="17" spans="1:5" x14ac:dyDescent="0.3">
      <c r="A17" s="372" t="s">
        <v>446</v>
      </c>
      <c r="B17" s="516" t="s">
        <v>139</v>
      </c>
      <c r="C17" s="516" t="s">
        <v>140</v>
      </c>
      <c r="D17" s="516" t="s">
        <v>141</v>
      </c>
      <c r="E17" s="516" t="s">
        <v>142</v>
      </c>
    </row>
    <row r="18" spans="1:5" x14ac:dyDescent="0.3">
      <c r="A18" s="372" t="s">
        <v>166</v>
      </c>
      <c r="B18" s="516" t="s">
        <v>166</v>
      </c>
      <c r="C18" s="516" t="s">
        <v>166</v>
      </c>
      <c r="D18" s="516" t="s">
        <v>166</v>
      </c>
      <c r="E18" s="516" t="s">
        <v>166</v>
      </c>
    </row>
    <row r="19" spans="1:5" x14ac:dyDescent="0.3">
      <c r="A19" s="372" t="s">
        <v>143</v>
      </c>
      <c r="B19" s="516">
        <v>3171</v>
      </c>
      <c r="C19" s="516">
        <v>3.093</v>
      </c>
      <c r="D19" s="516">
        <v>2.9820000000000002</v>
      </c>
      <c r="E19" s="516">
        <v>3.488</v>
      </c>
    </row>
    <row r="20" spans="1:5" x14ac:dyDescent="0.3">
      <c r="A20" s="372" t="s">
        <v>132</v>
      </c>
      <c r="B20" s="516">
        <v>63</v>
      </c>
      <c r="C20" s="516">
        <v>80</v>
      </c>
      <c r="D20" s="516">
        <v>13</v>
      </c>
      <c r="E20" s="516">
        <v>10</v>
      </c>
    </row>
    <row r="21" spans="1:5" x14ac:dyDescent="0.3">
      <c r="A21" s="372" t="s">
        <v>133</v>
      </c>
      <c r="B21" s="516">
        <v>1217</v>
      </c>
      <c r="C21" s="516">
        <v>1.258</v>
      </c>
      <c r="D21" s="516">
        <v>849</v>
      </c>
      <c r="E21" s="516">
        <v>1.127</v>
      </c>
    </row>
    <row r="22" spans="1:5" x14ac:dyDescent="0.3">
      <c r="A22" s="372" t="s">
        <v>134</v>
      </c>
      <c r="B22" s="516">
        <v>882</v>
      </c>
      <c r="C22" s="516">
        <v>975</v>
      </c>
      <c r="D22" s="516">
        <v>712</v>
      </c>
      <c r="E22" s="516">
        <v>583</v>
      </c>
    </row>
    <row r="23" spans="1:5" x14ac:dyDescent="0.3">
      <c r="A23" s="372" t="s">
        <v>135</v>
      </c>
      <c r="B23" s="516">
        <v>516</v>
      </c>
      <c r="C23" s="516">
        <v>487</v>
      </c>
      <c r="D23" s="516">
        <v>560</v>
      </c>
      <c r="E23" s="516">
        <v>615</v>
      </c>
    </row>
    <row r="24" spans="1:5" x14ac:dyDescent="0.3">
      <c r="A24" s="372" t="s">
        <v>136</v>
      </c>
      <c r="B24" s="516">
        <v>277</v>
      </c>
      <c r="C24" s="516">
        <v>177</v>
      </c>
      <c r="D24" s="516">
        <v>260</v>
      </c>
      <c r="E24" s="516">
        <v>630</v>
      </c>
    </row>
    <row r="25" spans="1:5" x14ac:dyDescent="0.3">
      <c r="A25" s="372" t="s">
        <v>137</v>
      </c>
      <c r="B25" s="516">
        <v>218</v>
      </c>
      <c r="C25" s="516">
        <v>117</v>
      </c>
      <c r="D25" s="516">
        <v>588</v>
      </c>
      <c r="E25" s="516">
        <v>524</v>
      </c>
    </row>
    <row r="26" spans="1:5" x14ac:dyDescent="0.3">
      <c r="A26" s="372" t="s">
        <v>166</v>
      </c>
      <c r="B26" s="516" t="s">
        <v>166</v>
      </c>
      <c r="C26" s="516" t="s">
        <v>166</v>
      </c>
      <c r="D26" s="516" t="s">
        <v>166</v>
      </c>
      <c r="E26" s="516" t="s">
        <v>166</v>
      </c>
    </row>
    <row r="27" spans="1:5" x14ac:dyDescent="0.3">
      <c r="A27" s="372" t="s">
        <v>446</v>
      </c>
      <c r="B27" s="516" t="s">
        <v>144</v>
      </c>
      <c r="C27" s="516" t="s">
        <v>145</v>
      </c>
      <c r="D27" s="516" t="s">
        <v>146</v>
      </c>
      <c r="E27" s="516" t="s">
        <v>147</v>
      </c>
    </row>
    <row r="28" spans="1:5" x14ac:dyDescent="0.3">
      <c r="A28" s="372" t="s">
        <v>166</v>
      </c>
      <c r="B28" s="516" t="s">
        <v>166</v>
      </c>
      <c r="C28" s="516" t="s">
        <v>166</v>
      </c>
      <c r="D28" s="516" t="s">
        <v>166</v>
      </c>
      <c r="E28" s="516" t="s">
        <v>166</v>
      </c>
    </row>
    <row r="29" spans="1:5" x14ac:dyDescent="0.3">
      <c r="A29" s="372" t="s">
        <v>441</v>
      </c>
      <c r="B29" s="516">
        <v>1932</v>
      </c>
      <c r="C29" s="516">
        <v>1.9390000000000001</v>
      </c>
      <c r="D29" s="516">
        <v>564</v>
      </c>
      <c r="E29" s="516">
        <v>2.0550000000000002</v>
      </c>
    </row>
    <row r="30" spans="1:5" x14ac:dyDescent="0.3">
      <c r="A30" s="372" t="s">
        <v>132</v>
      </c>
      <c r="B30" s="516">
        <v>127</v>
      </c>
      <c r="C30" s="516">
        <v>129</v>
      </c>
      <c r="D30" s="516">
        <v>47</v>
      </c>
      <c r="E30" s="516">
        <v>121</v>
      </c>
    </row>
    <row r="31" spans="1:5" x14ac:dyDescent="0.3">
      <c r="A31" s="372" t="s">
        <v>133</v>
      </c>
      <c r="B31" s="516">
        <v>633</v>
      </c>
      <c r="C31" s="516">
        <v>634</v>
      </c>
      <c r="D31" s="516">
        <v>379</v>
      </c>
      <c r="E31" s="516">
        <v>653</v>
      </c>
    </row>
    <row r="32" spans="1:5" x14ac:dyDescent="0.3">
      <c r="A32" s="372" t="s">
        <v>134</v>
      </c>
      <c r="B32" s="516">
        <v>815</v>
      </c>
      <c r="C32" s="516">
        <v>850</v>
      </c>
      <c r="D32" s="516">
        <v>73</v>
      </c>
      <c r="E32" s="516">
        <v>590</v>
      </c>
    </row>
    <row r="33" spans="1:5" x14ac:dyDescent="0.3">
      <c r="A33" s="372" t="s">
        <v>135</v>
      </c>
      <c r="B33" s="516">
        <v>178</v>
      </c>
      <c r="C33" s="516">
        <v>179</v>
      </c>
      <c r="D33" s="516">
        <v>47</v>
      </c>
      <c r="E33" s="516">
        <v>184</v>
      </c>
    </row>
    <row r="34" spans="1:5" x14ac:dyDescent="0.3">
      <c r="A34" s="372" t="s">
        <v>136</v>
      </c>
      <c r="B34" s="516">
        <v>92</v>
      </c>
      <c r="C34" s="516">
        <v>72</v>
      </c>
      <c r="D34" s="516" t="s">
        <v>180</v>
      </c>
      <c r="E34" s="516">
        <v>292</v>
      </c>
    </row>
    <row r="35" spans="1:5" x14ac:dyDescent="0.3">
      <c r="A35" s="372" t="s">
        <v>137</v>
      </c>
      <c r="B35" s="516">
        <v>88</v>
      </c>
      <c r="C35" s="516">
        <v>76</v>
      </c>
      <c r="D35" s="516">
        <v>18</v>
      </c>
      <c r="E35" s="516">
        <v>216</v>
      </c>
    </row>
    <row r="36" spans="1:5" x14ac:dyDescent="0.3">
      <c r="A36" s="372" t="s">
        <v>166</v>
      </c>
      <c r="B36" s="516" t="s">
        <v>166</v>
      </c>
      <c r="C36" s="516" t="s">
        <v>166</v>
      </c>
      <c r="D36" s="516" t="s">
        <v>166</v>
      </c>
      <c r="E36" s="516" t="s">
        <v>166</v>
      </c>
    </row>
    <row r="37" spans="1:5" x14ac:dyDescent="0.3">
      <c r="A37" s="372" t="s">
        <v>446</v>
      </c>
      <c r="B37" s="516" t="s">
        <v>145</v>
      </c>
      <c r="C37" s="516" t="s">
        <v>145</v>
      </c>
      <c r="D37" s="516" t="s">
        <v>148</v>
      </c>
      <c r="E37" s="516" t="s">
        <v>147</v>
      </c>
    </row>
    <row r="38" spans="1:5" x14ac:dyDescent="0.3">
      <c r="A38" s="372" t="s">
        <v>166</v>
      </c>
      <c r="B38" s="516" t="s">
        <v>166</v>
      </c>
      <c r="C38" s="516" t="s">
        <v>166</v>
      </c>
      <c r="D38" s="516" t="s">
        <v>166</v>
      </c>
      <c r="E38" s="516" t="s">
        <v>166</v>
      </c>
    </row>
    <row r="39" spans="1:5" x14ac:dyDescent="0.3">
      <c r="A39" s="372" t="s">
        <v>149</v>
      </c>
      <c r="B39" s="516">
        <v>335</v>
      </c>
      <c r="C39" s="516">
        <v>3.282</v>
      </c>
      <c r="D39" s="516">
        <v>2.2080000000000002</v>
      </c>
      <c r="E39" s="516">
        <v>4.0170000000000003</v>
      </c>
    </row>
    <row r="40" spans="1:5" x14ac:dyDescent="0.3">
      <c r="A40" s="372" t="s">
        <v>132</v>
      </c>
      <c r="B40" s="516">
        <v>91</v>
      </c>
      <c r="C40" s="516">
        <v>96</v>
      </c>
      <c r="D40" s="516">
        <v>79</v>
      </c>
      <c r="E40" s="516">
        <v>69</v>
      </c>
    </row>
    <row r="41" spans="1:5" x14ac:dyDescent="0.3">
      <c r="A41" s="372" t="s">
        <v>133</v>
      </c>
      <c r="B41" s="516">
        <v>1279</v>
      </c>
      <c r="C41" s="516">
        <v>1.333</v>
      </c>
      <c r="D41" s="516">
        <v>1.1879999999999999</v>
      </c>
      <c r="E41" s="516">
        <v>996</v>
      </c>
    </row>
    <row r="42" spans="1:5" x14ac:dyDescent="0.3">
      <c r="A42" s="372" t="s">
        <v>134</v>
      </c>
      <c r="B42" s="516">
        <v>103</v>
      </c>
      <c r="C42" s="516">
        <v>1.119</v>
      </c>
      <c r="D42" s="516">
        <v>425</v>
      </c>
      <c r="E42" s="516">
        <v>674</v>
      </c>
    </row>
    <row r="43" spans="1:5" x14ac:dyDescent="0.3">
      <c r="A43" s="372" t="s">
        <v>135</v>
      </c>
      <c r="B43" s="516">
        <v>489</v>
      </c>
      <c r="C43" s="516">
        <v>445</v>
      </c>
      <c r="D43" s="516">
        <v>388</v>
      </c>
      <c r="E43" s="516">
        <v>763</v>
      </c>
    </row>
    <row r="44" spans="1:5" x14ac:dyDescent="0.3">
      <c r="A44" s="372" t="s">
        <v>136</v>
      </c>
      <c r="B44" s="516">
        <v>266</v>
      </c>
      <c r="C44" s="516">
        <v>177</v>
      </c>
      <c r="D44" s="516">
        <v>42</v>
      </c>
      <c r="E44" s="516">
        <v>826</v>
      </c>
    </row>
    <row r="45" spans="1:5" x14ac:dyDescent="0.3">
      <c r="A45" s="372" t="s">
        <v>137</v>
      </c>
      <c r="B45" s="516">
        <v>194</v>
      </c>
      <c r="C45" s="516">
        <v>112</v>
      </c>
      <c r="D45" s="516">
        <v>86</v>
      </c>
      <c r="E45" s="516">
        <v>688</v>
      </c>
    </row>
    <row r="46" spans="1:5" x14ac:dyDescent="0.3">
      <c r="A46" s="372" t="s">
        <v>166</v>
      </c>
      <c r="B46" s="516" t="s">
        <v>166</v>
      </c>
      <c r="C46" s="516" t="s">
        <v>166</v>
      </c>
      <c r="D46" s="516" t="s">
        <v>166</v>
      </c>
      <c r="E46" s="516" t="s">
        <v>166</v>
      </c>
    </row>
    <row r="47" spans="1:5" x14ac:dyDescent="0.3">
      <c r="A47" s="372" t="s">
        <v>446</v>
      </c>
      <c r="B47" s="516" t="s">
        <v>150</v>
      </c>
      <c r="C47" s="516" t="s">
        <v>150</v>
      </c>
      <c r="D47" s="516" t="s">
        <v>151</v>
      </c>
      <c r="E47" s="516" t="s">
        <v>146</v>
      </c>
    </row>
    <row r="48" spans="1:5" x14ac:dyDescent="0.3">
      <c r="A48" s="372" t="s">
        <v>166</v>
      </c>
      <c r="B48" s="516" t="s">
        <v>166</v>
      </c>
      <c r="C48" s="516" t="s">
        <v>166</v>
      </c>
      <c r="D48" s="516" t="s">
        <v>166</v>
      </c>
      <c r="E48" s="516" t="s">
        <v>166</v>
      </c>
    </row>
    <row r="49" spans="1:5" x14ac:dyDescent="0.3">
      <c r="A49" s="372" t="s">
        <v>442</v>
      </c>
      <c r="B49" s="516">
        <v>1286</v>
      </c>
      <c r="C49" s="516">
        <v>1.2929999999999999</v>
      </c>
      <c r="D49" s="516">
        <v>867</v>
      </c>
      <c r="E49" s="516">
        <v>1.137</v>
      </c>
    </row>
    <row r="50" spans="1:5" x14ac:dyDescent="0.3">
      <c r="A50" s="372" t="s">
        <v>132</v>
      </c>
      <c r="B50" s="516">
        <v>213</v>
      </c>
      <c r="C50" s="516">
        <v>213</v>
      </c>
      <c r="D50" s="516">
        <v>10</v>
      </c>
      <c r="E50" s="516">
        <v>223</v>
      </c>
    </row>
    <row r="51" spans="1:5" x14ac:dyDescent="0.3">
      <c r="A51" s="372" t="s">
        <v>133</v>
      </c>
      <c r="B51" s="516">
        <v>328</v>
      </c>
      <c r="C51" s="516">
        <v>332</v>
      </c>
      <c r="D51" s="516">
        <v>428</v>
      </c>
      <c r="E51" s="516">
        <v>241</v>
      </c>
    </row>
    <row r="52" spans="1:5" x14ac:dyDescent="0.3">
      <c r="A52" s="372" t="s">
        <v>134</v>
      </c>
      <c r="B52" s="516">
        <v>522</v>
      </c>
      <c r="C52" s="516">
        <v>536</v>
      </c>
      <c r="D52" s="516">
        <v>369</v>
      </c>
      <c r="E52" s="516">
        <v>262</v>
      </c>
    </row>
    <row r="53" spans="1:5" x14ac:dyDescent="0.3">
      <c r="A53" s="372" t="s">
        <v>135</v>
      </c>
      <c r="B53" s="516">
        <v>125</v>
      </c>
      <c r="C53" s="516">
        <v>124</v>
      </c>
      <c r="D53" s="516">
        <v>37</v>
      </c>
      <c r="E53" s="516">
        <v>136</v>
      </c>
    </row>
    <row r="54" spans="1:5" x14ac:dyDescent="0.3">
      <c r="A54" s="372" t="s">
        <v>136</v>
      </c>
      <c r="B54" s="516">
        <v>22</v>
      </c>
      <c r="C54" s="516">
        <v>17</v>
      </c>
      <c r="D54" s="516" t="s">
        <v>180</v>
      </c>
      <c r="E54" s="516">
        <v>124</v>
      </c>
    </row>
    <row r="55" spans="1:5" x14ac:dyDescent="0.3">
      <c r="A55" s="372" t="s">
        <v>137</v>
      </c>
      <c r="B55" s="516">
        <v>75</v>
      </c>
      <c r="C55" s="516">
        <v>72</v>
      </c>
      <c r="D55" s="516">
        <v>23</v>
      </c>
      <c r="E55" s="516">
        <v>151</v>
      </c>
    </row>
    <row r="56" spans="1:5" x14ac:dyDescent="0.3">
      <c r="A56" s="372" t="s">
        <v>166</v>
      </c>
      <c r="B56" s="516" t="s">
        <v>166</v>
      </c>
      <c r="C56" s="516" t="s">
        <v>166</v>
      </c>
      <c r="D56" s="516" t="s">
        <v>166</v>
      </c>
      <c r="E56" s="516" t="s">
        <v>166</v>
      </c>
    </row>
    <row r="57" spans="1:5" x14ac:dyDescent="0.3">
      <c r="A57" s="372" t="s">
        <v>446</v>
      </c>
      <c r="B57" s="516" t="s">
        <v>140</v>
      </c>
      <c r="C57" s="516" t="s">
        <v>144</v>
      </c>
      <c r="D57" s="516" t="s">
        <v>152</v>
      </c>
      <c r="E57" s="516" t="s">
        <v>153</v>
      </c>
    </row>
    <row r="58" spans="1:5" x14ac:dyDescent="0.3">
      <c r="A58" s="372" t="s">
        <v>166</v>
      </c>
      <c r="B58" s="516" t="s">
        <v>166</v>
      </c>
      <c r="C58" s="516" t="s">
        <v>166</v>
      </c>
      <c r="D58" s="516" t="s">
        <v>166</v>
      </c>
      <c r="E58" s="516" t="s">
        <v>166</v>
      </c>
    </row>
    <row r="59" spans="1:5" x14ac:dyDescent="0.3">
      <c r="A59" s="372" t="s">
        <v>448</v>
      </c>
      <c r="B59" s="516">
        <v>3079</v>
      </c>
      <c r="C59" s="516">
        <v>3.0910000000000002</v>
      </c>
      <c r="D59" s="516">
        <v>2.1859999999999999</v>
      </c>
      <c r="E59" s="516">
        <v>3.1110000000000002</v>
      </c>
    </row>
    <row r="60" spans="1:5" x14ac:dyDescent="0.3">
      <c r="A60" s="372" t="s">
        <v>132</v>
      </c>
      <c r="B60" s="516">
        <v>111</v>
      </c>
      <c r="C60" s="516">
        <v>123</v>
      </c>
      <c r="D60" s="516">
        <v>65</v>
      </c>
      <c r="E60" s="516">
        <v>25</v>
      </c>
    </row>
    <row r="61" spans="1:5" x14ac:dyDescent="0.3">
      <c r="A61" s="372" t="s">
        <v>133</v>
      </c>
      <c r="B61" s="516">
        <v>1015</v>
      </c>
      <c r="C61" s="516">
        <v>1.0209999999999999</v>
      </c>
      <c r="D61" s="516">
        <v>818</v>
      </c>
      <c r="E61" s="516">
        <v>997</v>
      </c>
    </row>
    <row r="62" spans="1:5" x14ac:dyDescent="0.3">
      <c r="A62" s="372" t="s">
        <v>134</v>
      </c>
      <c r="B62" s="516">
        <v>1291</v>
      </c>
      <c r="C62" s="516">
        <v>1.3819999999999999</v>
      </c>
      <c r="D62" s="516">
        <v>687</v>
      </c>
      <c r="E62" s="516">
        <v>690</v>
      </c>
    </row>
    <row r="63" spans="1:5" x14ac:dyDescent="0.3">
      <c r="A63" s="372" t="s">
        <v>135</v>
      </c>
      <c r="B63" s="516">
        <v>431</v>
      </c>
      <c r="C63" s="516">
        <v>410</v>
      </c>
      <c r="D63" s="516">
        <v>358</v>
      </c>
      <c r="E63" s="516">
        <v>606</v>
      </c>
    </row>
    <row r="64" spans="1:5" x14ac:dyDescent="0.3">
      <c r="A64" s="372" t="s">
        <v>136</v>
      </c>
      <c r="B64" s="516">
        <v>131</v>
      </c>
      <c r="C64" s="516">
        <v>82</v>
      </c>
      <c r="D64" s="516">
        <v>89</v>
      </c>
      <c r="E64" s="516">
        <v>517</v>
      </c>
    </row>
    <row r="65" spans="1:5" x14ac:dyDescent="0.3">
      <c r="A65" s="372" t="s">
        <v>137</v>
      </c>
      <c r="B65" s="516">
        <v>99</v>
      </c>
      <c r="C65" s="516">
        <v>74</v>
      </c>
      <c r="D65" s="516">
        <v>169</v>
      </c>
      <c r="E65" s="516">
        <v>276</v>
      </c>
    </row>
    <row r="66" spans="1:5" x14ac:dyDescent="0.3">
      <c r="A66" s="372" t="s">
        <v>166</v>
      </c>
      <c r="B66" s="516" t="s">
        <v>166</v>
      </c>
      <c r="C66" s="516" t="s">
        <v>166</v>
      </c>
      <c r="D66" s="516" t="s">
        <v>166</v>
      </c>
      <c r="E66" s="516" t="s">
        <v>166</v>
      </c>
    </row>
    <row r="67" spans="1:5" x14ac:dyDescent="0.3">
      <c r="A67" s="372" t="s">
        <v>138</v>
      </c>
      <c r="B67" s="516" t="s">
        <v>144</v>
      </c>
      <c r="C67" s="516" t="s">
        <v>145</v>
      </c>
      <c r="D67" s="516" t="s">
        <v>147</v>
      </c>
      <c r="E67" s="516" t="s">
        <v>146</v>
      </c>
    </row>
    <row r="68" spans="1:5" x14ac:dyDescent="0.3">
      <c r="A68" s="372" t="s">
        <v>166</v>
      </c>
      <c r="B68" s="516" t="s">
        <v>166</v>
      </c>
      <c r="C68" s="516" t="s">
        <v>166</v>
      </c>
      <c r="D68" s="516" t="s">
        <v>166</v>
      </c>
      <c r="E68" s="516" t="s">
        <v>166</v>
      </c>
    </row>
    <row r="69" spans="1:5" x14ac:dyDescent="0.3">
      <c r="A69" s="372" t="s">
        <v>449</v>
      </c>
      <c r="B69" s="516">
        <v>1537</v>
      </c>
      <c r="C69" s="516">
        <v>1.5269999999999999</v>
      </c>
      <c r="D69" s="516">
        <v>2.6259999999999999</v>
      </c>
      <c r="E69" s="516">
        <v>1.544</v>
      </c>
    </row>
    <row r="70" spans="1:5" x14ac:dyDescent="0.3">
      <c r="A70" s="372" t="s">
        <v>132</v>
      </c>
      <c r="B70" s="516">
        <v>234</v>
      </c>
      <c r="C70" s="516">
        <v>237</v>
      </c>
      <c r="D70" s="516">
        <v>30</v>
      </c>
      <c r="E70" s="516">
        <v>197</v>
      </c>
    </row>
    <row r="71" spans="1:5" x14ac:dyDescent="0.3">
      <c r="A71" s="372" t="s">
        <v>133</v>
      </c>
      <c r="B71" s="516">
        <v>355</v>
      </c>
      <c r="C71" s="516">
        <v>345</v>
      </c>
      <c r="D71" s="516">
        <v>1.0169999999999999</v>
      </c>
      <c r="E71" s="516">
        <v>439</v>
      </c>
    </row>
    <row r="72" spans="1:5" x14ac:dyDescent="0.3">
      <c r="A72" s="372" t="s">
        <v>134</v>
      </c>
      <c r="B72" s="516">
        <v>797</v>
      </c>
      <c r="C72" s="516">
        <v>807</v>
      </c>
      <c r="D72" s="516">
        <v>1.407</v>
      </c>
      <c r="E72" s="516">
        <v>495</v>
      </c>
    </row>
    <row r="73" spans="1:5" x14ac:dyDescent="0.3">
      <c r="A73" s="372" t="s">
        <v>135</v>
      </c>
      <c r="B73" s="516">
        <v>94</v>
      </c>
      <c r="C73" s="516">
        <v>91</v>
      </c>
      <c r="D73" s="516">
        <v>118</v>
      </c>
      <c r="E73" s="516">
        <v>142</v>
      </c>
    </row>
    <row r="74" spans="1:5" x14ac:dyDescent="0.3">
      <c r="A74" s="372" t="s">
        <v>136</v>
      </c>
      <c r="B74" s="516">
        <v>18</v>
      </c>
      <c r="C74" s="516">
        <v>17</v>
      </c>
      <c r="D74" s="516" t="s">
        <v>180</v>
      </c>
      <c r="E74" s="516">
        <v>42</v>
      </c>
    </row>
    <row r="75" spans="1:5" x14ac:dyDescent="0.3">
      <c r="A75" s="372" t="s">
        <v>137</v>
      </c>
      <c r="B75" s="516">
        <v>39</v>
      </c>
      <c r="C75" s="516">
        <v>30</v>
      </c>
      <c r="D75" s="516">
        <v>54</v>
      </c>
      <c r="E75" s="516">
        <v>230</v>
      </c>
    </row>
    <row r="76" spans="1:5" x14ac:dyDescent="0.3">
      <c r="A76" s="372" t="s">
        <v>166</v>
      </c>
      <c r="B76" s="516" t="s">
        <v>166</v>
      </c>
      <c r="C76" s="516" t="s">
        <v>166</v>
      </c>
      <c r="D76" s="516" t="s">
        <v>166</v>
      </c>
      <c r="E76" s="516" t="s">
        <v>166</v>
      </c>
    </row>
    <row r="77" spans="1:5" x14ac:dyDescent="0.3">
      <c r="A77" s="372" t="s">
        <v>446</v>
      </c>
      <c r="B77" s="516" t="s">
        <v>144</v>
      </c>
      <c r="C77" s="516" t="s">
        <v>145</v>
      </c>
      <c r="D77" s="516" t="s">
        <v>154</v>
      </c>
      <c r="E77" s="516" t="s">
        <v>150</v>
      </c>
    </row>
    <row r="78" spans="1:5" x14ac:dyDescent="0.3">
      <c r="A78" s="372" t="s">
        <v>166</v>
      </c>
      <c r="B78" s="516" t="s">
        <v>166</v>
      </c>
      <c r="C78" s="516" t="s">
        <v>166</v>
      </c>
      <c r="D78" s="516" t="s">
        <v>166</v>
      </c>
      <c r="E78" s="516" t="s">
        <v>166</v>
      </c>
    </row>
    <row r="79" spans="1:5" x14ac:dyDescent="0.3">
      <c r="A79" s="372" t="s">
        <v>155</v>
      </c>
      <c r="B79" s="516" t="s">
        <v>166</v>
      </c>
      <c r="C79" s="516" t="s">
        <v>166</v>
      </c>
      <c r="D79" s="516" t="s">
        <v>166</v>
      </c>
      <c r="E79" s="516" t="s">
        <v>166</v>
      </c>
    </row>
    <row r="80" spans="1:5" x14ac:dyDescent="0.3">
      <c r="A80" s="372" t="s">
        <v>156</v>
      </c>
      <c r="B80" s="516" t="s">
        <v>166</v>
      </c>
      <c r="C80" s="516" t="s">
        <v>166</v>
      </c>
      <c r="D80" s="516" t="s">
        <v>166</v>
      </c>
      <c r="E80" s="516" t="s">
        <v>166</v>
      </c>
    </row>
    <row r="81" spans="1:5" x14ac:dyDescent="0.3">
      <c r="A81" s="372" t="s">
        <v>157</v>
      </c>
      <c r="B81" s="516" t="s">
        <v>166</v>
      </c>
      <c r="C81" s="516" t="s">
        <v>166</v>
      </c>
      <c r="D81" s="516" t="s">
        <v>166</v>
      </c>
      <c r="E81" s="516" t="s">
        <v>166</v>
      </c>
    </row>
    <row r="82" spans="1:5" x14ac:dyDescent="0.3">
      <c r="A82" s="372" t="s">
        <v>158</v>
      </c>
      <c r="B82" s="516" t="s">
        <v>166</v>
      </c>
      <c r="C82" s="516" t="s">
        <v>166</v>
      </c>
      <c r="D82" s="516" t="s">
        <v>166</v>
      </c>
      <c r="E82" s="516" t="s">
        <v>166</v>
      </c>
    </row>
    <row r="83" spans="1:5" x14ac:dyDescent="0.3">
      <c r="A83" s="372" t="s">
        <v>159</v>
      </c>
      <c r="B83" s="516" t="s">
        <v>166</v>
      </c>
      <c r="C83" s="516" t="s">
        <v>166</v>
      </c>
      <c r="D83" s="516" t="s">
        <v>166</v>
      </c>
      <c r="E83" s="516" t="s">
        <v>166</v>
      </c>
    </row>
    <row r="84" spans="1:5" x14ac:dyDescent="0.3">
      <c r="A84" s="372" t="s">
        <v>160</v>
      </c>
      <c r="B84" s="516" t="s">
        <v>166</v>
      </c>
      <c r="C84" s="516" t="s">
        <v>166</v>
      </c>
      <c r="D84" s="516" t="s">
        <v>166</v>
      </c>
      <c r="E84" s="516" t="s">
        <v>166</v>
      </c>
    </row>
    <row r="85" spans="1:5" x14ac:dyDescent="0.3">
      <c r="A85" s="372" t="s">
        <v>161</v>
      </c>
      <c r="B85" s="516" t="s">
        <v>166</v>
      </c>
      <c r="C85" s="516" t="s">
        <v>166</v>
      </c>
      <c r="D85" s="516" t="s">
        <v>166</v>
      </c>
      <c r="E85" s="516" t="s">
        <v>166</v>
      </c>
    </row>
    <row r="86" spans="1:5" x14ac:dyDescent="0.3">
      <c r="A86" s="372" t="s">
        <v>162</v>
      </c>
      <c r="B86" s="516" t="s">
        <v>166</v>
      </c>
      <c r="C86" s="516" t="s">
        <v>166</v>
      </c>
      <c r="D86" s="516" t="s">
        <v>166</v>
      </c>
      <c r="E86" s="516" t="s">
        <v>166</v>
      </c>
    </row>
    <row r="87" spans="1:5" x14ac:dyDescent="0.3">
      <c r="A87" s="372" t="s">
        <v>163</v>
      </c>
      <c r="B87" s="516" t="s">
        <v>166</v>
      </c>
      <c r="C87" s="516" t="s">
        <v>166</v>
      </c>
      <c r="D87" s="516" t="s">
        <v>166</v>
      </c>
      <c r="E87" s="516" t="s">
        <v>166</v>
      </c>
    </row>
    <row r="89" spans="1:5" ht="12.75" customHeight="1" x14ac:dyDescent="0.3">
      <c r="A89" s="372" t="s">
        <v>164</v>
      </c>
    </row>
    <row r="90" spans="1:5" ht="12.75" customHeight="1" x14ac:dyDescent="0.3">
      <c r="A90" s="372" t="s">
        <v>165</v>
      </c>
    </row>
    <row r="91" spans="1:5" x14ac:dyDescent="0.3">
      <c r="B91" s="516" t="s">
        <v>171</v>
      </c>
      <c r="C91" s="516" t="s">
        <v>167</v>
      </c>
      <c r="D91" s="516" t="s">
        <v>506</v>
      </c>
    </row>
    <row r="92" spans="1:5" x14ac:dyDescent="0.3">
      <c r="A92" t="s">
        <v>445</v>
      </c>
      <c r="B92" s="516">
        <f>+B10</f>
        <v>82</v>
      </c>
      <c r="C92" s="372">
        <f>+B11+B12</f>
        <v>4030</v>
      </c>
      <c r="D92" s="516">
        <f>(B10++B13)/SUM(B11:B12)</f>
        <v>0.26575682382133997</v>
      </c>
    </row>
    <row r="93" spans="1:5" x14ac:dyDescent="0.3">
      <c r="A93" t="s">
        <v>444</v>
      </c>
      <c r="B93" s="516">
        <f>+B20</f>
        <v>63</v>
      </c>
      <c r="C93" s="372">
        <f>+B21+B22</f>
        <v>2099</v>
      </c>
      <c r="D93" s="516">
        <f>(B20+B23)/SUM(B21:B22)</f>
        <v>0.27584564078132445</v>
      </c>
    </row>
    <row r="94" spans="1:5" x14ac:dyDescent="0.3">
      <c r="A94" t="s">
        <v>441</v>
      </c>
      <c r="B94" s="516">
        <f>+B30</f>
        <v>127</v>
      </c>
      <c r="C94" s="372">
        <f>+B31+B32</f>
        <v>1448</v>
      </c>
      <c r="D94" s="516">
        <f>(B30+B33)/SUM(B31:B32)</f>
        <v>0.2106353591160221</v>
      </c>
    </row>
    <row r="95" spans="1:5" x14ac:dyDescent="0.3">
      <c r="A95" t="s">
        <v>443</v>
      </c>
      <c r="B95" s="516">
        <f>+B40</f>
        <v>91</v>
      </c>
      <c r="C95" s="372">
        <f>+B41+B42</f>
        <v>1382</v>
      </c>
      <c r="D95" s="516">
        <f>(B40+B43)/SUM(B41:B42)</f>
        <v>0.41968162083936322</v>
      </c>
    </row>
    <row r="96" spans="1:5" x14ac:dyDescent="0.3">
      <c r="A96" t="s">
        <v>442</v>
      </c>
      <c r="B96" s="516">
        <f>+B50</f>
        <v>213</v>
      </c>
      <c r="C96" s="372">
        <f>+B51+B52</f>
        <v>850</v>
      </c>
      <c r="D96" s="516">
        <f>(B50+B53)/SUM(B51:B52)</f>
        <v>0.39764705882352941</v>
      </c>
    </row>
    <row r="97" spans="1:4" x14ac:dyDescent="0.3">
      <c r="A97" t="s">
        <v>448</v>
      </c>
      <c r="B97" s="516">
        <f>+B60</f>
        <v>111</v>
      </c>
      <c r="C97" s="372">
        <f>+B61+62</f>
        <v>1077</v>
      </c>
      <c r="D97" s="516">
        <f>(B60+B63)/SUM(B61:B62)</f>
        <v>0.23503902862098872</v>
      </c>
    </row>
    <row r="98" spans="1:4" x14ac:dyDescent="0.3">
      <c r="A98" t="s">
        <v>449</v>
      </c>
      <c r="B98" s="516">
        <f>+B70</f>
        <v>234</v>
      </c>
      <c r="C98" s="372">
        <f>+B71+B72</f>
        <v>1152</v>
      </c>
      <c r="D98" s="516">
        <f>(B70+B73)/SUM(B71:B72)</f>
        <v>0.28472222222222221</v>
      </c>
    </row>
  </sheetData>
  <phoneticPr fontId="0" type="noConversion"/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9C4DF-42E4-461D-96AB-C070A3CDE911}">
  <dimension ref="B1:N61"/>
  <sheetViews>
    <sheetView topLeftCell="B43" workbookViewId="0">
      <selection activeCell="H59" sqref="H59"/>
    </sheetView>
  </sheetViews>
  <sheetFormatPr defaultColWidth="11" defaultRowHeight="13" x14ac:dyDescent="0.3"/>
  <cols>
    <col min="1" max="1" width="11" customWidth="1"/>
    <col min="2" max="2" width="13.6640625" style="361" bestFit="1" customWidth="1"/>
    <col min="3" max="3" width="30.88671875" bestFit="1" customWidth="1"/>
    <col min="4" max="4" width="21.109375" customWidth="1"/>
    <col min="5" max="5" width="16.33203125" customWidth="1"/>
    <col min="6" max="6" width="19" customWidth="1"/>
    <col min="7" max="7" width="34" bestFit="1" customWidth="1"/>
    <col min="8" max="8" width="28" bestFit="1" customWidth="1"/>
    <col min="9" max="9" width="39" customWidth="1"/>
    <col min="10" max="10" width="39.33203125" customWidth="1"/>
    <col min="11" max="11" width="11" customWidth="1"/>
    <col min="12" max="13" width="16.109375" bestFit="1" customWidth="1"/>
    <col min="14" max="14" width="13.6640625" bestFit="1" customWidth="1"/>
  </cols>
  <sheetData>
    <row r="1" spans="3:14" x14ac:dyDescent="0.3">
      <c r="C1" t="s">
        <v>540</v>
      </c>
    </row>
    <row r="3" spans="3:14" s="361" customFormat="1" x14ac:dyDescent="0.3">
      <c r="C3" s="377" t="s">
        <v>538</v>
      </c>
      <c r="D3" s="377" t="s">
        <v>505</v>
      </c>
      <c r="E3" s="421" t="s">
        <v>506</v>
      </c>
      <c r="F3" s="377" t="s">
        <v>507</v>
      </c>
      <c r="G3" s="377" t="s">
        <v>515</v>
      </c>
      <c r="I3" s="395"/>
      <c r="J3" s="389"/>
      <c r="K3" s="389"/>
      <c r="L3" s="389"/>
      <c r="M3" s="389"/>
      <c r="N3" s="389"/>
    </row>
    <row r="4" spans="3:14" x14ac:dyDescent="0.3">
      <c r="C4" s="671" t="s">
        <v>669</v>
      </c>
      <c r="D4" s="369">
        <v>6350461396</v>
      </c>
      <c r="E4" s="371">
        <f>D4/$D$12</f>
        <v>0.17284659847471992</v>
      </c>
      <c r="F4" s="369"/>
      <c r="G4" s="371"/>
      <c r="H4" s="365"/>
      <c r="I4" s="373"/>
      <c r="J4" s="372"/>
      <c r="K4" s="374"/>
      <c r="L4" s="374"/>
      <c r="M4" s="374"/>
      <c r="N4" s="373"/>
    </row>
    <row r="5" spans="3:14" x14ac:dyDescent="0.3">
      <c r="C5" s="671" t="s">
        <v>670</v>
      </c>
      <c r="D5" s="372">
        <v>1295145575</v>
      </c>
      <c r="E5" s="374">
        <f t="shared" ref="E5:E10" si="0">D5/$D$12</f>
        <v>3.5251219275081354E-2</v>
      </c>
      <c r="F5" s="372"/>
      <c r="G5" s="374"/>
      <c r="H5" s="365"/>
      <c r="I5" s="373"/>
      <c r="J5" s="372"/>
      <c r="K5" s="374"/>
      <c r="L5" s="374"/>
      <c r="M5" s="374"/>
      <c r="N5" s="373"/>
    </row>
    <row r="6" spans="3:14" x14ac:dyDescent="0.3">
      <c r="C6" s="671" t="s">
        <v>675</v>
      </c>
      <c r="D6" s="372">
        <v>4345079376</v>
      </c>
      <c r="E6" s="374">
        <f t="shared" si="0"/>
        <v>0.11826419269587489</v>
      </c>
      <c r="F6" s="372"/>
      <c r="G6" s="374"/>
      <c r="H6" s="365"/>
      <c r="I6" s="373"/>
      <c r="J6" s="372"/>
      <c r="K6" s="374"/>
      <c r="L6" s="374"/>
      <c r="M6" s="374"/>
      <c r="N6" s="373"/>
    </row>
    <row r="7" spans="3:14" x14ac:dyDescent="0.3">
      <c r="C7" s="671" t="s">
        <v>671</v>
      </c>
      <c r="D7" s="372">
        <v>3793548194</v>
      </c>
      <c r="E7" s="374">
        <f t="shared" si="0"/>
        <v>0.10325263954770711</v>
      </c>
      <c r="F7" s="372"/>
      <c r="G7" s="374"/>
      <c r="H7" s="365"/>
      <c r="I7" s="373"/>
      <c r="J7" s="372"/>
      <c r="K7" s="374"/>
      <c r="L7" s="374"/>
      <c r="M7" s="374"/>
      <c r="N7" s="373"/>
    </row>
    <row r="8" spans="3:14" x14ac:dyDescent="0.3">
      <c r="C8" s="671" t="s">
        <v>672</v>
      </c>
      <c r="D8" s="372">
        <v>1870769031</v>
      </c>
      <c r="E8" s="374">
        <f t="shared" si="0"/>
        <v>5.0918514951350143E-2</v>
      </c>
      <c r="F8" s="372"/>
      <c r="G8" s="374"/>
      <c r="H8" s="365"/>
      <c r="I8" s="373"/>
      <c r="J8" s="372"/>
      <c r="K8" s="374"/>
      <c r="L8" s="374"/>
      <c r="M8" s="374"/>
      <c r="N8" s="373"/>
    </row>
    <row r="9" spans="3:14" x14ac:dyDescent="0.3">
      <c r="C9" s="671" t="s">
        <v>673</v>
      </c>
      <c r="D9" s="372">
        <v>1467253994</v>
      </c>
      <c r="E9" s="374">
        <f t="shared" si="0"/>
        <v>3.9935659182353235E-2</v>
      </c>
      <c r="F9" s="372"/>
      <c r="G9" s="374"/>
      <c r="I9" s="374"/>
      <c r="J9" s="372"/>
      <c r="K9" s="374"/>
      <c r="L9" s="374"/>
      <c r="M9" s="374"/>
      <c r="N9" s="373"/>
    </row>
    <row r="10" spans="3:14" x14ac:dyDescent="0.3">
      <c r="C10" s="671" t="s">
        <v>674</v>
      </c>
      <c r="D10" s="372">
        <v>17618190044</v>
      </c>
      <c r="E10" s="374">
        <f t="shared" si="0"/>
        <v>0.47953117584569538</v>
      </c>
      <c r="F10" s="372"/>
      <c r="G10" s="374"/>
      <c r="H10" s="362"/>
      <c r="I10" s="373"/>
      <c r="J10" s="372"/>
      <c r="K10" s="374"/>
      <c r="L10" s="374"/>
      <c r="M10" s="374"/>
      <c r="N10" s="373"/>
    </row>
    <row r="11" spans="3:14" x14ac:dyDescent="0.3">
      <c r="C11" s="373"/>
      <c r="D11" s="372"/>
      <c r="E11" s="374"/>
      <c r="F11" s="372"/>
      <c r="G11" s="374"/>
      <c r="I11" s="373"/>
      <c r="J11" s="372"/>
      <c r="K11" s="374"/>
      <c r="L11" s="374"/>
      <c r="M11" s="374"/>
      <c r="N11" s="373"/>
    </row>
    <row r="12" spans="3:14" x14ac:dyDescent="0.3">
      <c r="C12" s="375" t="s">
        <v>491</v>
      </c>
      <c r="D12" s="393">
        <v>36740447611</v>
      </c>
      <c r="E12" s="376">
        <f>D12/$D$12</f>
        <v>1</v>
      </c>
      <c r="F12" s="393"/>
      <c r="G12" s="376"/>
      <c r="I12" s="373"/>
      <c r="J12" s="372"/>
      <c r="K12" s="374"/>
      <c r="L12" s="374"/>
      <c r="M12" s="374"/>
      <c r="N12" s="372"/>
    </row>
    <row r="13" spans="3:14" x14ac:dyDescent="0.3">
      <c r="I13" s="373"/>
      <c r="J13" s="373"/>
      <c r="K13" s="373"/>
      <c r="L13" s="373"/>
      <c r="M13" s="373"/>
      <c r="N13" s="373"/>
    </row>
    <row r="14" spans="3:14" x14ac:dyDescent="0.3">
      <c r="C14" t="s">
        <v>676</v>
      </c>
      <c r="I14" s="373"/>
      <c r="J14" s="373"/>
      <c r="K14" s="373"/>
      <c r="L14" s="373"/>
      <c r="M14" s="373"/>
      <c r="N14" s="373"/>
    </row>
    <row r="15" spans="3:14" x14ac:dyDescent="0.3">
      <c r="I15" s="373"/>
      <c r="J15" s="373"/>
      <c r="K15" s="373"/>
      <c r="L15" s="373"/>
      <c r="M15" s="373"/>
      <c r="N15" s="373"/>
    </row>
    <row r="16" spans="3:14" x14ac:dyDescent="0.3">
      <c r="G16" s="366"/>
      <c r="I16" s="373"/>
      <c r="J16" s="373"/>
      <c r="K16" s="373"/>
      <c r="L16" s="373"/>
      <c r="M16" s="373"/>
      <c r="N16" s="373"/>
    </row>
    <row r="17" spans="3:14" x14ac:dyDescent="0.3">
      <c r="I17" s="373"/>
      <c r="J17" s="373"/>
      <c r="K17" s="373"/>
      <c r="L17" s="373"/>
      <c r="M17" s="373"/>
      <c r="N17" s="373"/>
    </row>
    <row r="21" spans="3:14" x14ac:dyDescent="0.3">
      <c r="C21" t="s">
        <v>447</v>
      </c>
    </row>
    <row r="22" spans="3:14" x14ac:dyDescent="0.3">
      <c r="C22" s="398"/>
      <c r="D22" s="377" t="s">
        <v>450</v>
      </c>
      <c r="E22" s="377" t="s">
        <v>446</v>
      </c>
      <c r="F22" s="377" t="s">
        <v>556</v>
      </c>
      <c r="G22" s="377" t="s">
        <v>506</v>
      </c>
      <c r="H22" s="377" t="s">
        <v>547</v>
      </c>
      <c r="I22" s="377" t="s">
        <v>171</v>
      </c>
      <c r="J22" s="377" t="s">
        <v>168</v>
      </c>
      <c r="K22" s="398" t="s">
        <v>172</v>
      </c>
      <c r="L22" s="398" t="s">
        <v>173</v>
      </c>
      <c r="M22" s="398" t="s">
        <v>174</v>
      </c>
    </row>
    <row r="23" spans="3:14" x14ac:dyDescent="0.3">
      <c r="C23" t="s">
        <v>445</v>
      </c>
      <c r="D23" s="361">
        <v>989</v>
      </c>
      <c r="E23" s="361">
        <v>5</v>
      </c>
      <c r="F23" s="365">
        <f>+E23*D23</f>
        <v>4945</v>
      </c>
      <c r="G23" s="420">
        <f t="shared" ref="G23:G29" si="1">+F23/SUM($F$23:$F$29)</f>
        <v>0.34495507561805905</v>
      </c>
      <c r="H23" s="365">
        <f>+E23*'Ingresos 1997'!C92</f>
        <v>20150</v>
      </c>
      <c r="I23" s="365">
        <f>+E23*'Ingresos 1997'!B92</f>
        <v>410</v>
      </c>
      <c r="J23" s="422">
        <f>+(F23+I23)/H23</f>
        <v>0.26575682382133997</v>
      </c>
      <c r="K23" s="517">
        <v>1387160</v>
      </c>
      <c r="L23" s="517">
        <f>(+I23+F23)*K23</f>
        <v>7428241800</v>
      </c>
      <c r="M23" s="517">
        <f>+H23*K23</f>
        <v>27951274000</v>
      </c>
    </row>
    <row r="24" spans="3:14" x14ac:dyDescent="0.3">
      <c r="C24" t="s">
        <v>444</v>
      </c>
      <c r="D24" s="361">
        <v>516</v>
      </c>
      <c r="E24" s="361">
        <v>5.2</v>
      </c>
      <c r="F24" s="365">
        <f t="shared" ref="F24:F29" si="2">+E24*D24</f>
        <v>2683.2000000000003</v>
      </c>
      <c r="G24" s="420">
        <f t="shared" si="1"/>
        <v>0.18717562363971205</v>
      </c>
      <c r="H24" s="365">
        <f>+E24*'Ingresos 1997'!C93</f>
        <v>10914.800000000001</v>
      </c>
      <c r="I24" s="365">
        <f>+E24*'Ingresos 1997'!B93</f>
        <v>327.60000000000002</v>
      </c>
      <c r="J24" s="514">
        <f t="shared" ref="J24:J29" si="3">+(F24+I24)/H24</f>
        <v>0.27584564078132445</v>
      </c>
      <c r="K24" s="518">
        <v>838832</v>
      </c>
      <c r="L24" s="518">
        <f t="shared" ref="L24:L29" si="4">(+I24+F24)*K24</f>
        <v>2525555385.6000004</v>
      </c>
      <c r="M24" s="518">
        <f t="shared" ref="M24:M29" si="5">+H24*K24</f>
        <v>9155683513.6000004</v>
      </c>
    </row>
    <row r="25" spans="3:14" x14ac:dyDescent="0.3">
      <c r="C25" t="s">
        <v>441</v>
      </c>
      <c r="D25" s="361">
        <v>178</v>
      </c>
      <c r="E25" s="361">
        <v>5.3</v>
      </c>
      <c r="F25" s="365">
        <f t="shared" si="2"/>
        <v>943.4</v>
      </c>
      <c r="G25" s="420">
        <f t="shared" si="1"/>
        <v>6.5810034042078233E-2</v>
      </c>
      <c r="H25" s="365">
        <f>+E25*'Ingresos 1997'!C94</f>
        <v>7674.4</v>
      </c>
      <c r="I25" s="365">
        <f>+E25*'Ingresos 1997'!B94</f>
        <v>673.1</v>
      </c>
      <c r="J25" s="514">
        <f t="shared" si="3"/>
        <v>0.2106353591160221</v>
      </c>
      <c r="K25" s="518">
        <v>274203.40000000002</v>
      </c>
      <c r="L25" s="518">
        <f t="shared" si="4"/>
        <v>443249796.10000002</v>
      </c>
      <c r="M25" s="518">
        <f t="shared" si="5"/>
        <v>2104346572.96</v>
      </c>
    </row>
    <row r="26" spans="3:14" x14ac:dyDescent="0.3">
      <c r="C26" t="s">
        <v>443</v>
      </c>
      <c r="D26" s="361">
        <v>489</v>
      </c>
      <c r="E26" s="361">
        <v>4.9000000000000004</v>
      </c>
      <c r="F26" s="365">
        <f t="shared" si="2"/>
        <v>2396.1000000000004</v>
      </c>
      <c r="G26" s="420">
        <f t="shared" si="1"/>
        <v>0.16714799933031979</v>
      </c>
      <c r="H26" s="365">
        <f>+E26*'Ingresos 1997'!C95</f>
        <v>6771.8</v>
      </c>
      <c r="I26" s="365">
        <f>+E26*'Ingresos 1997'!B95</f>
        <v>445.90000000000003</v>
      </c>
      <c r="J26" s="514">
        <f t="shared" si="3"/>
        <v>0.41968162083936328</v>
      </c>
      <c r="K26" s="518">
        <v>640284</v>
      </c>
      <c r="L26" s="518">
        <f t="shared" si="4"/>
        <v>1819687128.0000002</v>
      </c>
      <c r="M26" s="518">
        <f t="shared" si="5"/>
        <v>4335875191.1999998</v>
      </c>
    </row>
    <row r="27" spans="3:14" x14ac:dyDescent="0.3">
      <c r="C27" t="s">
        <v>442</v>
      </c>
      <c r="D27" s="361">
        <v>125</v>
      </c>
      <c r="E27" s="361">
        <v>5.0999999999999996</v>
      </c>
      <c r="F27" s="365">
        <f t="shared" si="2"/>
        <v>637.5</v>
      </c>
      <c r="G27" s="420">
        <f t="shared" si="1"/>
        <v>4.4470952620123891E-2</v>
      </c>
      <c r="H27" s="365">
        <f>+E27*'Ingresos 1997'!C96</f>
        <v>4335</v>
      </c>
      <c r="I27" s="365">
        <f>+E27*'Ingresos 1997'!B96</f>
        <v>1086.3</v>
      </c>
      <c r="J27" s="514">
        <f t="shared" si="3"/>
        <v>0.39764705882352941</v>
      </c>
      <c r="K27" s="518">
        <v>1039488</v>
      </c>
      <c r="L27" s="518">
        <f t="shared" si="4"/>
        <v>1791869414.3999999</v>
      </c>
      <c r="M27" s="518">
        <f t="shared" si="5"/>
        <v>4506180480</v>
      </c>
    </row>
    <row r="28" spans="3:14" x14ac:dyDescent="0.3">
      <c r="C28" t="s">
        <v>448</v>
      </c>
      <c r="D28" s="361">
        <v>431</v>
      </c>
      <c r="E28" s="361">
        <v>5.2</v>
      </c>
      <c r="F28" s="365">
        <f t="shared" si="2"/>
        <v>2241.2000000000003</v>
      </c>
      <c r="G28" s="420">
        <f t="shared" si="1"/>
        <v>0.15634242982309282</v>
      </c>
      <c r="H28" s="365">
        <f>+E28*'Ingresos 1997'!C97</f>
        <v>5600.4000000000005</v>
      </c>
      <c r="I28" s="365">
        <f>+E28*'Ingresos 1997'!B97</f>
        <v>577.20000000000005</v>
      </c>
      <c r="J28" s="514">
        <f t="shared" si="3"/>
        <v>0.50324976787372333</v>
      </c>
      <c r="K28" s="518">
        <v>258249.60000000001</v>
      </c>
      <c r="L28" s="518">
        <f t="shared" si="4"/>
        <v>727850672.6400001</v>
      </c>
      <c r="M28" s="518">
        <f t="shared" si="5"/>
        <v>1446301059.8400002</v>
      </c>
    </row>
    <row r="29" spans="3:14" x14ac:dyDescent="0.3">
      <c r="C29" t="s">
        <v>449</v>
      </c>
      <c r="D29" s="361">
        <v>94</v>
      </c>
      <c r="E29" s="361">
        <v>5.2</v>
      </c>
      <c r="F29" s="397">
        <f t="shared" si="2"/>
        <v>488.8</v>
      </c>
      <c r="G29" s="420">
        <f t="shared" si="1"/>
        <v>3.4097884926614211E-2</v>
      </c>
      <c r="H29" s="365">
        <f>+E29*'Ingresos 1997'!C98</f>
        <v>5990.4000000000005</v>
      </c>
      <c r="I29" s="365">
        <f>+E29*'Ingresos 1997'!B98</f>
        <v>1216.8</v>
      </c>
      <c r="J29" s="423">
        <f t="shared" si="3"/>
        <v>0.28472222222222215</v>
      </c>
      <c r="K29" s="519">
        <v>350350.8</v>
      </c>
      <c r="L29" s="519">
        <f t="shared" si="4"/>
        <v>597558324.4799999</v>
      </c>
      <c r="M29" s="519">
        <f t="shared" si="5"/>
        <v>2098741432.3200002</v>
      </c>
    </row>
    <row r="30" spans="3:14" x14ac:dyDescent="0.3">
      <c r="C30" s="370" t="s">
        <v>451</v>
      </c>
      <c r="D30" s="421"/>
      <c r="E30" s="422"/>
      <c r="F30" s="420"/>
      <c r="G30" s="422">
        <f>++L30/SUM($L$30:$L$31)</f>
        <v>0.81526834342544108</v>
      </c>
      <c r="H30" s="396"/>
      <c r="I30" s="396"/>
      <c r="J30" s="420">
        <f>+L30/M30</f>
        <v>0.29148023960667496</v>
      </c>
      <c r="K30" s="366"/>
      <c r="L30" s="366">
        <f>+L23+L24+L26+L28</f>
        <v>12501334986.24</v>
      </c>
      <c r="M30" s="366">
        <f>+M23+M24+M26+M28</f>
        <v>42889133764.639999</v>
      </c>
    </row>
    <row r="31" spans="3:14" x14ac:dyDescent="0.3">
      <c r="C31" s="375" t="s">
        <v>452</v>
      </c>
      <c r="D31" s="390"/>
      <c r="E31" s="390"/>
      <c r="F31" s="420"/>
      <c r="G31" s="423">
        <f>++L31/SUM($L$30:$L$31)</f>
        <v>0.18473165657455898</v>
      </c>
      <c r="H31" s="397"/>
      <c r="I31" s="420"/>
      <c r="J31" s="420">
        <f>+L31/M31</f>
        <v>0.32524861758110446</v>
      </c>
      <c r="L31" s="366">
        <f>+L25+L27+L29</f>
        <v>2832677534.98</v>
      </c>
      <c r="M31" s="366">
        <f>+M25+M27+M29</f>
        <v>8709268485.2800007</v>
      </c>
    </row>
    <row r="32" spans="3:14" x14ac:dyDescent="0.3">
      <c r="C32" s="398" t="s">
        <v>491</v>
      </c>
      <c r="D32" s="398"/>
      <c r="E32" s="398"/>
      <c r="F32" s="394"/>
      <c r="G32" s="398"/>
      <c r="H32" s="394"/>
      <c r="I32" s="394"/>
      <c r="J32" s="520">
        <f>+L32/M32</f>
        <v>0.29717998722031702</v>
      </c>
      <c r="L32" s="366">
        <f>+SUM(L23:L29)</f>
        <v>15334012521.219999</v>
      </c>
      <c r="M32" s="366">
        <f>+SUM(M23:M29)</f>
        <v>51598402249.919991</v>
      </c>
    </row>
    <row r="33" spans="2:12" x14ac:dyDescent="0.3">
      <c r="J33" t="s">
        <v>169</v>
      </c>
      <c r="L33" s="366"/>
    </row>
    <row r="34" spans="2:12" s="373" customFormat="1" x14ac:dyDescent="0.3">
      <c r="B34" s="389"/>
      <c r="C34" s="373" t="s">
        <v>120</v>
      </c>
    </row>
    <row r="35" spans="2:12" s="373" customFormat="1" x14ac:dyDescent="0.3">
      <c r="B35" s="389"/>
      <c r="C35" s="373" t="s">
        <v>121</v>
      </c>
    </row>
    <row r="36" spans="2:12" s="373" customFormat="1" x14ac:dyDescent="0.3">
      <c r="B36" s="389"/>
    </row>
    <row r="37" spans="2:12" x14ac:dyDescent="0.3">
      <c r="D37" t="s">
        <v>122</v>
      </c>
    </row>
    <row r="38" spans="2:12" x14ac:dyDescent="0.3">
      <c r="C38" s="671" t="s">
        <v>669</v>
      </c>
      <c r="D38" s="515">
        <f>+E4</f>
        <v>0.17284659847471992</v>
      </c>
    </row>
    <row r="39" spans="2:12" x14ac:dyDescent="0.3">
      <c r="C39" s="671" t="s">
        <v>670</v>
      </c>
      <c r="D39" s="515">
        <f t="shared" ref="D39:D44" si="6">+E5</f>
        <v>3.5251219275081354E-2</v>
      </c>
    </row>
    <row r="40" spans="2:12" x14ac:dyDescent="0.3">
      <c r="C40" s="671" t="s">
        <v>675</v>
      </c>
      <c r="D40" s="515">
        <f t="shared" si="6"/>
        <v>0.11826419269587489</v>
      </c>
    </row>
    <row r="41" spans="2:12" x14ac:dyDescent="0.3">
      <c r="C41" s="671" t="s">
        <v>671</v>
      </c>
      <c r="D41" s="515">
        <f t="shared" si="6"/>
        <v>0.10325263954770711</v>
      </c>
    </row>
    <row r="42" spans="2:12" x14ac:dyDescent="0.3">
      <c r="C42" s="671" t="s">
        <v>672</v>
      </c>
      <c r="D42" s="515">
        <f t="shared" si="6"/>
        <v>5.0918514951350143E-2</v>
      </c>
    </row>
    <row r="43" spans="2:12" x14ac:dyDescent="0.3">
      <c r="C43" s="671" t="s">
        <v>673</v>
      </c>
      <c r="D43" s="515">
        <f t="shared" si="6"/>
        <v>3.9935659182353235E-2</v>
      </c>
    </row>
    <row r="44" spans="2:12" x14ac:dyDescent="0.3">
      <c r="C44" s="671" t="s">
        <v>674</v>
      </c>
      <c r="D44" s="515">
        <f t="shared" si="6"/>
        <v>0.47953117584569538</v>
      </c>
    </row>
    <row r="45" spans="2:12" x14ac:dyDescent="0.3">
      <c r="D45" s="362"/>
    </row>
    <row r="46" spans="2:12" x14ac:dyDescent="0.3">
      <c r="C46" s="372"/>
      <c r="D46">
        <v>0.15932957778800785</v>
      </c>
      <c r="E46">
        <v>3.9187837475764452E-2</v>
      </c>
      <c r="F46">
        <v>0.10737646608148063</v>
      </c>
      <c r="G46">
        <v>0.11081996303739751</v>
      </c>
      <c r="H46">
        <v>4.9546954811931165E-2</v>
      </c>
      <c r="I46">
        <v>4.3705774327537784E-2</v>
      </c>
      <c r="J46">
        <v>0.49003342647788062</v>
      </c>
    </row>
    <row r="47" spans="2:12" ht="195" x14ac:dyDescent="0.3">
      <c r="B47" s="424"/>
      <c r="C47" s="386" t="s">
        <v>278</v>
      </c>
    </row>
    <row r="48" spans="2:12" x14ac:dyDescent="0.3">
      <c r="C48" s="372"/>
    </row>
    <row r="50" spans="3:10" x14ac:dyDescent="0.3">
      <c r="D50" t="s">
        <v>954</v>
      </c>
      <c r="E50" t="s">
        <v>955</v>
      </c>
      <c r="F50" t="s">
        <v>956</v>
      </c>
      <c r="G50" t="s">
        <v>957</v>
      </c>
      <c r="H50" t="s">
        <v>958</v>
      </c>
    </row>
    <row r="51" spans="3:10" x14ac:dyDescent="0.3">
      <c r="C51" s="671" t="s">
        <v>669</v>
      </c>
      <c r="D51">
        <v>17122050017</v>
      </c>
      <c r="E51">
        <v>19844523957</v>
      </c>
      <c r="F51">
        <f>+E51-D51</f>
        <v>2722473940</v>
      </c>
      <c r="G51" s="362">
        <f>+E51/D51</f>
        <v>1.1590039707451463</v>
      </c>
      <c r="H51" s="362">
        <f>+F51/D51</f>
        <v>0.15900397074514633</v>
      </c>
    </row>
    <row r="52" spans="3:10" x14ac:dyDescent="0.3">
      <c r="C52" s="671" t="s">
        <v>670</v>
      </c>
      <c r="D52">
        <v>3133934010</v>
      </c>
      <c r="E52">
        <v>3412493465</v>
      </c>
      <c r="F52">
        <f t="shared" ref="F52:F59" si="7">+E52-D52</f>
        <v>278559455</v>
      </c>
      <c r="G52" s="362">
        <f t="shared" ref="G52:G59" si="8">+E52/D52</f>
        <v>1.088884914012596</v>
      </c>
      <c r="H52" s="362">
        <f t="shared" ref="H52:H59" si="9">+F52/D52</f>
        <v>8.8884914012595947E-2</v>
      </c>
    </row>
    <row r="53" spans="3:10" x14ac:dyDescent="0.3">
      <c r="C53" s="671" t="s">
        <v>675</v>
      </c>
      <c r="D53">
        <v>12260483538</v>
      </c>
      <c r="E53">
        <v>13610115737</v>
      </c>
      <c r="F53">
        <f t="shared" si="7"/>
        <v>1349632199</v>
      </c>
      <c r="G53" s="362">
        <f t="shared" si="8"/>
        <v>1.1100798508327152</v>
      </c>
      <c r="H53" s="362">
        <f t="shared" si="9"/>
        <v>0.11007985083271518</v>
      </c>
    </row>
    <row r="54" spans="3:10" x14ac:dyDescent="0.3">
      <c r="C54" s="671" t="s">
        <v>671</v>
      </c>
      <c r="D54">
        <v>9927852333</v>
      </c>
      <c r="E54">
        <v>9391380894</v>
      </c>
      <c r="F54">
        <f t="shared" si="7"/>
        <v>-536471439</v>
      </c>
      <c r="G54" s="362">
        <f t="shared" si="8"/>
        <v>0.94596299169189102</v>
      </c>
      <c r="H54" s="362">
        <f t="shared" si="9"/>
        <v>-5.4037008308108966E-2</v>
      </c>
    </row>
    <row r="55" spans="3:10" x14ac:dyDescent="0.3">
      <c r="C55" s="671" t="s">
        <v>672</v>
      </c>
      <c r="D55">
        <v>5218545953</v>
      </c>
      <c r="E55">
        <v>5278350610</v>
      </c>
      <c r="F55">
        <f t="shared" si="7"/>
        <v>59804657</v>
      </c>
      <c r="G55" s="362">
        <f t="shared" si="8"/>
        <v>1.0114600230674637</v>
      </c>
      <c r="H55" s="362">
        <f t="shared" si="9"/>
        <v>1.1460023067463828E-2</v>
      </c>
    </row>
    <row r="56" spans="3:10" x14ac:dyDescent="0.3">
      <c r="C56" s="671" t="s">
        <v>673</v>
      </c>
      <c r="D56">
        <v>3423372437</v>
      </c>
      <c r="E56">
        <v>3153246781</v>
      </c>
      <c r="F56">
        <f t="shared" si="7"/>
        <v>-270125656</v>
      </c>
      <c r="G56" s="362">
        <f t="shared" si="8"/>
        <v>0.92109369898510984</v>
      </c>
      <c r="H56" s="362">
        <f t="shared" si="9"/>
        <v>-7.8906301014890129E-2</v>
      </c>
    </row>
    <row r="57" spans="3:10" x14ac:dyDescent="0.3">
      <c r="C57" s="671" t="s">
        <v>674</v>
      </c>
      <c r="D57">
        <v>44759929496</v>
      </c>
      <c r="E57">
        <v>62278057936</v>
      </c>
      <c r="F57">
        <f t="shared" si="7"/>
        <v>17518128440</v>
      </c>
      <c r="G57" s="362">
        <f t="shared" si="8"/>
        <v>1.3913797147863138</v>
      </c>
      <c r="H57" s="362">
        <f t="shared" si="9"/>
        <v>0.39137971478631395</v>
      </c>
    </row>
    <row r="58" spans="3:10" x14ac:dyDescent="0.3">
      <c r="G58" s="362"/>
      <c r="H58" s="362"/>
    </row>
    <row r="59" spans="3:10" x14ac:dyDescent="0.3">
      <c r="C59" t="s">
        <v>491</v>
      </c>
      <c r="D59">
        <v>95846167784</v>
      </c>
      <c r="E59">
        <v>116968169379</v>
      </c>
      <c r="F59">
        <f t="shared" si="7"/>
        <v>21122001595</v>
      </c>
      <c r="G59" s="362">
        <f t="shared" si="8"/>
        <v>1.2203739813844283</v>
      </c>
      <c r="H59" s="362">
        <f t="shared" si="9"/>
        <v>0.22037398138442824</v>
      </c>
    </row>
    <row r="61" spans="3:10" x14ac:dyDescent="0.3">
      <c r="C61" t="s">
        <v>959</v>
      </c>
      <c r="D61">
        <v>0.15900397074514633</v>
      </c>
      <c r="E61">
        <v>8.8884914012595947E-2</v>
      </c>
      <c r="F61">
        <v>0.11007985083271518</v>
      </c>
      <c r="G61">
        <v>-5.4037008308108966E-2</v>
      </c>
      <c r="H61">
        <v>1.1460023067463828E-2</v>
      </c>
      <c r="I61">
        <v>-7.8906301014890129E-2</v>
      </c>
      <c r="J61">
        <v>0.39137971478631395</v>
      </c>
    </row>
  </sheetData>
  <phoneticPr fontId="0" type="noConversion"/>
  <pageMargins left="0.75" right="0.75" top="1" bottom="1" header="0" footer="0"/>
  <pageSetup orientation="portrait" horizontalDpi="1200" verticalDpi="12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2275-A25D-4910-BA75-CD7CF5C6D9E5}">
  <dimension ref="B1:L18"/>
  <sheetViews>
    <sheetView workbookViewId="0"/>
  </sheetViews>
  <sheetFormatPr defaultColWidth="11" defaultRowHeight="13" x14ac:dyDescent="0.3"/>
  <cols>
    <col min="1" max="1" width="11" customWidth="1"/>
    <col min="2" max="2" width="30.88671875" bestFit="1" customWidth="1"/>
    <col min="3" max="3" width="13.109375" customWidth="1"/>
  </cols>
  <sheetData>
    <row r="1" spans="2:12" x14ac:dyDescent="0.3">
      <c r="B1" t="s">
        <v>539</v>
      </c>
    </row>
    <row r="3" spans="2:12" x14ac:dyDescent="0.3">
      <c r="B3" s="377" t="s">
        <v>538</v>
      </c>
      <c r="C3" s="377" t="s">
        <v>495</v>
      </c>
      <c r="D3" s="377" t="s">
        <v>501</v>
      </c>
    </row>
    <row r="4" spans="2:12" x14ac:dyDescent="0.3">
      <c r="B4" s="671" t="s">
        <v>669</v>
      </c>
      <c r="C4">
        <v>19844523957</v>
      </c>
      <c r="D4" s="387">
        <f>C4/$C$12</f>
        <v>0.16965747230368428</v>
      </c>
    </row>
    <row r="5" spans="2:12" x14ac:dyDescent="0.3">
      <c r="B5" s="671" t="s">
        <v>670</v>
      </c>
      <c r="C5">
        <v>3412493465</v>
      </c>
      <c r="D5" s="387">
        <f t="shared" ref="D5:D10" si="0">C5/$C$12</f>
        <v>2.9174547939736253E-2</v>
      </c>
    </row>
    <row r="6" spans="2:12" x14ac:dyDescent="0.3">
      <c r="B6" s="671" t="s">
        <v>675</v>
      </c>
      <c r="C6">
        <v>13610115737</v>
      </c>
      <c r="D6" s="387">
        <f t="shared" si="0"/>
        <v>0.11635743133488032</v>
      </c>
    </row>
    <row r="7" spans="2:12" x14ac:dyDescent="0.3">
      <c r="B7" s="671" t="s">
        <v>671</v>
      </c>
      <c r="C7">
        <v>9391380894</v>
      </c>
      <c r="D7" s="387">
        <f t="shared" si="0"/>
        <v>8.0290056207426644E-2</v>
      </c>
    </row>
    <row r="8" spans="2:12" x14ac:dyDescent="0.3">
      <c r="B8" s="671" t="s">
        <v>672</v>
      </c>
      <c r="C8">
        <v>5278350610</v>
      </c>
      <c r="D8" s="387">
        <f t="shared" si="0"/>
        <v>4.5126384707723122E-2</v>
      </c>
    </row>
    <row r="9" spans="2:12" x14ac:dyDescent="0.3">
      <c r="B9" s="671" t="s">
        <v>673</v>
      </c>
      <c r="C9">
        <v>3153246781</v>
      </c>
      <c r="D9" s="387">
        <f t="shared" si="0"/>
        <v>2.6958161333241856E-2</v>
      </c>
    </row>
    <row r="10" spans="2:12" x14ac:dyDescent="0.3">
      <c r="B10" s="671" t="s">
        <v>674</v>
      </c>
      <c r="C10">
        <v>62278057936</v>
      </c>
      <c r="D10" s="387">
        <f t="shared" si="0"/>
        <v>0.53243594617330758</v>
      </c>
    </row>
    <row r="11" spans="2:12" x14ac:dyDescent="0.3">
      <c r="B11" s="373"/>
      <c r="C11" s="373"/>
      <c r="D11" s="387"/>
    </row>
    <row r="12" spans="2:12" x14ac:dyDescent="0.3">
      <c r="B12" s="375" t="s">
        <v>491</v>
      </c>
      <c r="C12" s="709">
        <f>+SUM(C4:C10)</f>
        <v>116968169380</v>
      </c>
      <c r="D12" s="388">
        <f>C12/$C$12</f>
        <v>1</v>
      </c>
    </row>
    <row r="14" spans="2:12" x14ac:dyDescent="0.3">
      <c r="B14" t="s">
        <v>509</v>
      </c>
      <c r="J14" s="373"/>
      <c r="K14" s="373"/>
      <c r="L14" s="373"/>
    </row>
    <row r="15" spans="2:12" x14ac:dyDescent="0.3">
      <c r="J15" s="373"/>
      <c r="K15" s="373"/>
      <c r="L15" s="373"/>
    </row>
    <row r="16" spans="2:12" x14ac:dyDescent="0.3">
      <c r="B16" s="377" t="s">
        <v>501</v>
      </c>
      <c r="C16" s="676">
        <v>0.16965747230368428</v>
      </c>
      <c r="D16" s="676">
        <v>2.9174547939736253E-2</v>
      </c>
      <c r="E16" s="676">
        <v>0.11635743133488032</v>
      </c>
      <c r="F16" s="676">
        <v>8.0290056207426644E-2</v>
      </c>
      <c r="G16" s="676">
        <v>4.5126384707723122E-2</v>
      </c>
      <c r="H16" s="676">
        <v>2.6958161333241856E-2</v>
      </c>
      <c r="I16" s="676">
        <v>0.53243594617330758</v>
      </c>
      <c r="J16" s="387"/>
      <c r="K16" s="387"/>
      <c r="L16" s="373"/>
    </row>
    <row r="17" spans="10:12" x14ac:dyDescent="0.3">
      <c r="J17" s="373"/>
      <c r="K17" s="373"/>
      <c r="L17" s="373"/>
    </row>
    <row r="18" spans="10:12" x14ac:dyDescent="0.3">
      <c r="J18" s="373"/>
      <c r="K18" s="373"/>
      <c r="L18" s="373"/>
    </row>
  </sheetData>
  <phoneticPr fontId="0" type="noConversion"/>
  <pageMargins left="0.75" right="0.75" top="1" bottom="1" header="0" footer="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9450-D30A-400A-9B0D-6C53FD721351}">
  <dimension ref="B1:N37"/>
  <sheetViews>
    <sheetView topLeftCell="F16" workbookViewId="0">
      <selection activeCell="G27" sqref="G27"/>
    </sheetView>
  </sheetViews>
  <sheetFormatPr defaultColWidth="11" defaultRowHeight="13" x14ac:dyDescent="0.3"/>
  <cols>
    <col min="1" max="1" width="11" customWidth="1"/>
    <col min="2" max="2" width="31.109375" customWidth="1"/>
    <col min="3" max="3" width="20.88671875" bestFit="1" customWidth="1"/>
    <col min="4" max="4" width="11" customWidth="1"/>
    <col min="5" max="5" width="13.6640625" bestFit="1" customWidth="1"/>
    <col min="6" max="6" width="14.6640625" bestFit="1" customWidth="1"/>
    <col min="7" max="7" width="17.88671875" bestFit="1" customWidth="1"/>
    <col min="8" max="8" width="18.88671875" bestFit="1" customWidth="1"/>
    <col min="9" max="9" width="17.88671875" bestFit="1" customWidth="1"/>
    <col min="10" max="10" width="12.88671875" customWidth="1"/>
  </cols>
  <sheetData>
    <row r="1" spans="2:13" x14ac:dyDescent="0.3">
      <c r="B1" t="s">
        <v>388</v>
      </c>
      <c r="G1" t="s">
        <v>717</v>
      </c>
      <c r="I1" t="s">
        <v>718</v>
      </c>
      <c r="J1" t="s">
        <v>719</v>
      </c>
      <c r="L1" t="s">
        <v>720</v>
      </c>
      <c r="M1" t="s">
        <v>721</v>
      </c>
    </row>
    <row r="2" spans="2:13" x14ac:dyDescent="0.3">
      <c r="F2">
        <v>1</v>
      </c>
      <c r="G2">
        <v>6267946180</v>
      </c>
      <c r="H2">
        <v>1</v>
      </c>
      <c r="I2">
        <v>1037118372</v>
      </c>
      <c r="J2">
        <v>353266578</v>
      </c>
      <c r="K2">
        <v>1</v>
      </c>
      <c r="L2">
        <v>1031882381</v>
      </c>
      <c r="M2">
        <v>30816486</v>
      </c>
    </row>
    <row r="3" spans="2:13" x14ac:dyDescent="0.3">
      <c r="B3" s="398" t="s">
        <v>538</v>
      </c>
      <c r="C3" s="377" t="s">
        <v>508</v>
      </c>
      <c r="D3" s="377" t="s">
        <v>506</v>
      </c>
      <c r="F3">
        <v>2</v>
      </c>
      <c r="G3">
        <v>1541629995</v>
      </c>
      <c r="H3">
        <v>2</v>
      </c>
      <c r="I3">
        <v>151812764</v>
      </c>
      <c r="J3">
        <v>21780470</v>
      </c>
      <c r="K3">
        <v>2</v>
      </c>
      <c r="L3">
        <v>141730560</v>
      </c>
      <c r="M3">
        <v>11350780</v>
      </c>
    </row>
    <row r="4" spans="2:13" x14ac:dyDescent="0.3">
      <c r="B4" s="671" t="s">
        <v>669</v>
      </c>
      <c r="C4" s="372">
        <f>+L2</f>
        <v>1031882381</v>
      </c>
      <c r="D4" s="374">
        <f t="shared" ref="D4:D10" si="0">C4/$C$12</f>
        <v>0.2058403090441942</v>
      </c>
      <c r="F4">
        <v>3</v>
      </c>
      <c r="G4">
        <v>4224136659</v>
      </c>
      <c r="H4">
        <v>3</v>
      </c>
      <c r="I4">
        <v>655294630</v>
      </c>
      <c r="J4">
        <v>42828032</v>
      </c>
      <c r="K4">
        <v>3</v>
      </c>
      <c r="L4">
        <v>745732006</v>
      </c>
      <c r="M4">
        <v>10176478</v>
      </c>
    </row>
    <row r="5" spans="2:13" x14ac:dyDescent="0.3">
      <c r="B5" s="671" t="s">
        <v>670</v>
      </c>
      <c r="C5" s="372">
        <f t="shared" ref="C5:C10" si="1">+L3</f>
        <v>141730560</v>
      </c>
      <c r="D5" s="374">
        <f t="shared" si="0"/>
        <v>2.8272468653970272E-2</v>
      </c>
      <c r="F5">
        <v>4</v>
      </c>
      <c r="G5">
        <v>4359602113</v>
      </c>
      <c r="H5">
        <v>4</v>
      </c>
      <c r="I5">
        <v>420502728</v>
      </c>
      <c r="J5">
        <v>6534606</v>
      </c>
      <c r="K5">
        <v>4</v>
      </c>
      <c r="L5">
        <v>129678490</v>
      </c>
      <c r="M5">
        <v>9216847</v>
      </c>
    </row>
    <row r="6" spans="2:13" x14ac:dyDescent="0.3">
      <c r="B6" s="671" t="s">
        <v>675</v>
      </c>
      <c r="C6" s="372">
        <f t="shared" si="1"/>
        <v>745732006</v>
      </c>
      <c r="D6" s="374">
        <f t="shared" si="0"/>
        <v>0.14875891807594194</v>
      </c>
      <c r="F6">
        <v>5</v>
      </c>
      <c r="G6">
        <v>1949152508</v>
      </c>
      <c r="H6">
        <v>5</v>
      </c>
      <c r="I6">
        <v>188365240</v>
      </c>
      <c r="J6">
        <v>28849400</v>
      </c>
      <c r="K6">
        <v>5</v>
      </c>
      <c r="L6">
        <v>193119470</v>
      </c>
      <c r="M6">
        <v>6236300</v>
      </c>
    </row>
    <row r="7" spans="2:13" x14ac:dyDescent="0.3">
      <c r="B7" s="671" t="s">
        <v>671</v>
      </c>
      <c r="C7" s="372">
        <f t="shared" si="1"/>
        <v>129678490</v>
      </c>
      <c r="D7" s="374">
        <f t="shared" si="0"/>
        <v>2.5868316922047E-2</v>
      </c>
      <c r="F7">
        <v>6</v>
      </c>
      <c r="G7">
        <v>1719363379</v>
      </c>
      <c r="H7">
        <v>6</v>
      </c>
      <c r="I7">
        <v>81679838</v>
      </c>
      <c r="J7">
        <v>1676824</v>
      </c>
      <c r="K7">
        <v>6</v>
      </c>
      <c r="L7">
        <v>22477230</v>
      </c>
      <c r="M7">
        <v>2636064</v>
      </c>
    </row>
    <row r="8" spans="2:13" x14ac:dyDescent="0.3">
      <c r="B8" s="671" t="s">
        <v>672</v>
      </c>
      <c r="C8" s="372">
        <f t="shared" si="1"/>
        <v>193119470</v>
      </c>
      <c r="D8" s="374">
        <f t="shared" si="0"/>
        <v>3.852354892301528E-2</v>
      </c>
      <c r="F8">
        <v>7</v>
      </c>
      <c r="G8">
        <v>19277670764</v>
      </c>
      <c r="H8">
        <v>7</v>
      </c>
      <c r="I8">
        <v>1901673501</v>
      </c>
      <c r="J8">
        <v>1169931351</v>
      </c>
      <c r="K8">
        <v>7</v>
      </c>
      <c r="L8">
        <v>2748403725</v>
      </c>
      <c r="M8">
        <v>91225383</v>
      </c>
    </row>
    <row r="9" spans="2:13" x14ac:dyDescent="0.3">
      <c r="B9" s="671" t="s">
        <v>673</v>
      </c>
      <c r="C9" s="372">
        <f t="shared" si="1"/>
        <v>22477230</v>
      </c>
      <c r="D9" s="374">
        <f t="shared" si="0"/>
        <v>4.4837668079705621E-3</v>
      </c>
      <c r="G9" t="s">
        <v>490</v>
      </c>
      <c r="I9" t="s">
        <v>490</v>
      </c>
      <c r="L9" t="s">
        <v>490</v>
      </c>
    </row>
    <row r="10" spans="2:13" x14ac:dyDescent="0.3">
      <c r="B10" s="671" t="s">
        <v>674</v>
      </c>
      <c r="C10" s="372">
        <f t="shared" si="1"/>
        <v>2748403725</v>
      </c>
      <c r="D10" s="374">
        <f t="shared" si="0"/>
        <v>0.54825267157286073</v>
      </c>
      <c r="F10" t="s">
        <v>491</v>
      </c>
      <c r="G10">
        <v>39339501597</v>
      </c>
      <c r="H10" t="s">
        <v>491</v>
      </c>
      <c r="I10">
        <v>4436447073</v>
      </c>
      <c r="J10">
        <v>1624867261</v>
      </c>
      <c r="K10" t="s">
        <v>491</v>
      </c>
      <c r="L10">
        <v>5013023862</v>
      </c>
      <c r="M10">
        <v>161658336</v>
      </c>
    </row>
    <row r="11" spans="2:13" x14ac:dyDescent="0.3">
      <c r="B11" s="373"/>
      <c r="C11" s="372" t="s">
        <v>490</v>
      </c>
      <c r="D11" s="374"/>
    </row>
    <row r="12" spans="2:13" x14ac:dyDescent="0.3">
      <c r="B12" s="375" t="s">
        <v>491</v>
      </c>
      <c r="C12" s="393">
        <f>+SUM(C4:C10)</f>
        <v>5013023862</v>
      </c>
      <c r="D12" s="376">
        <f>C12/$C$12</f>
        <v>1</v>
      </c>
    </row>
    <row r="13" spans="2:13" x14ac:dyDescent="0.3">
      <c r="D13" s="362"/>
    </row>
    <row r="14" spans="2:13" x14ac:dyDescent="0.3">
      <c r="B14" t="s">
        <v>676</v>
      </c>
    </row>
    <row r="16" spans="2:13" x14ac:dyDescent="0.3">
      <c r="B16" t="s">
        <v>389</v>
      </c>
    </row>
    <row r="18" spans="2:14" x14ac:dyDescent="0.3">
      <c r="B18" s="398" t="s">
        <v>538</v>
      </c>
      <c r="C18" s="377" t="s">
        <v>514</v>
      </c>
      <c r="D18" s="377" t="s">
        <v>506</v>
      </c>
      <c r="E18" s="377" t="s">
        <v>512</v>
      </c>
      <c r="F18" s="377" t="s">
        <v>513</v>
      </c>
      <c r="G18" s="421" t="s">
        <v>489</v>
      </c>
      <c r="H18" s="421" t="s">
        <v>488</v>
      </c>
      <c r="I18" s="421" t="s">
        <v>728</v>
      </c>
      <c r="K18" t="s">
        <v>932</v>
      </c>
      <c r="L18" s="745"/>
    </row>
    <row r="19" spans="2:14" x14ac:dyDescent="0.3">
      <c r="B19" s="671" t="s">
        <v>669</v>
      </c>
      <c r="C19" s="369">
        <f>+M2</f>
        <v>30816486</v>
      </c>
      <c r="D19" s="371">
        <f t="shared" ref="D19:D25" si="2">C19/$C$27</f>
        <v>0.19062725982002859</v>
      </c>
      <c r="E19">
        <v>17122050017</v>
      </c>
      <c r="F19">
        <v>19844523957</v>
      </c>
      <c r="G19" s="371">
        <f>+L20/SUM(L$20:L$26)</f>
        <v>0.18890362188903623</v>
      </c>
      <c r="H19" s="371">
        <f>+M20/SUM(M$20:M$26)</f>
        <v>0.22100460999999999</v>
      </c>
      <c r="I19" s="371">
        <f>+N20/SUM(N$20:N$26)</f>
        <v>0.15631276156312759</v>
      </c>
      <c r="L19" t="s">
        <v>730</v>
      </c>
      <c r="M19" t="s">
        <v>729</v>
      </c>
      <c r="N19" t="s">
        <v>931</v>
      </c>
    </row>
    <row r="20" spans="2:14" x14ac:dyDescent="0.3">
      <c r="B20" s="671" t="s">
        <v>670</v>
      </c>
      <c r="C20" s="372">
        <f t="shared" ref="C20:C25" si="3">+M3</f>
        <v>11350780</v>
      </c>
      <c r="D20" s="374">
        <f t="shared" si="2"/>
        <v>7.0214627593165033E-2</v>
      </c>
      <c r="E20">
        <v>3133934010</v>
      </c>
      <c r="F20">
        <v>3412493465</v>
      </c>
      <c r="G20" s="371">
        <f t="shared" ref="G20:G25" si="4">+L21/SUM(L$20:L$26)</f>
        <v>6.1383340613833409E-2</v>
      </c>
      <c r="H20" s="371">
        <f t="shared" ref="H20:H25" si="5">+M21/SUM(M$20:M$26)</f>
        <v>3.7981479999999998E-2</v>
      </c>
      <c r="I20" s="371">
        <f t="shared" ref="I20:I25" si="6">+N21/SUM(N$20:N$26)</f>
        <v>0.14802526148025261</v>
      </c>
      <c r="K20">
        <v>1</v>
      </c>
      <c r="L20" s="735">
        <v>0.18890361999999999</v>
      </c>
      <c r="M20" s="735">
        <v>0.22100460999999999</v>
      </c>
      <c r="N20" s="735">
        <v>0.15631276</v>
      </c>
    </row>
    <row r="21" spans="2:14" x14ac:dyDescent="0.3">
      <c r="B21" s="671" t="s">
        <v>675</v>
      </c>
      <c r="C21" s="372">
        <f t="shared" si="3"/>
        <v>10176478</v>
      </c>
      <c r="D21" s="374">
        <f t="shared" si="2"/>
        <v>6.2950529653472004E-2</v>
      </c>
      <c r="E21">
        <v>12260483538</v>
      </c>
      <c r="F21">
        <v>13610115737</v>
      </c>
      <c r="G21" s="371">
        <f t="shared" si="4"/>
        <v>0.1575858615758586</v>
      </c>
      <c r="H21" s="371">
        <f t="shared" si="5"/>
        <v>0.13231925999999999</v>
      </c>
      <c r="I21" s="371">
        <f t="shared" si="6"/>
        <v>6.1063910610639101E-2</v>
      </c>
      <c r="K21">
        <v>2</v>
      </c>
      <c r="L21" s="735">
        <v>6.1383340000000002E-2</v>
      </c>
      <c r="M21" s="735">
        <v>3.7981479999999998E-2</v>
      </c>
      <c r="N21" s="735">
        <v>0.14802525999999999</v>
      </c>
    </row>
    <row r="22" spans="2:14" x14ac:dyDescent="0.3">
      <c r="B22" s="671" t="s">
        <v>671</v>
      </c>
      <c r="C22" s="372">
        <f t="shared" si="3"/>
        <v>9216847</v>
      </c>
      <c r="D22" s="374">
        <f t="shared" si="2"/>
        <v>5.701436198113085E-2</v>
      </c>
      <c r="E22">
        <v>9927852333</v>
      </c>
      <c r="F22">
        <v>9391380894</v>
      </c>
      <c r="G22" s="371">
        <f t="shared" si="4"/>
        <v>0.30638429306384296</v>
      </c>
      <c r="H22" s="371">
        <f t="shared" si="5"/>
        <v>5.7691800000000001E-2</v>
      </c>
      <c r="I22" s="371">
        <f t="shared" si="6"/>
        <v>0.33648969336489692</v>
      </c>
      <c r="K22">
        <v>3</v>
      </c>
      <c r="L22" s="735">
        <v>0.15758585999999999</v>
      </c>
      <c r="M22" s="735">
        <v>0.13231925999999999</v>
      </c>
      <c r="N22" s="735">
        <v>6.1063909999999999E-2</v>
      </c>
    </row>
    <row r="23" spans="2:14" x14ac:dyDescent="0.3">
      <c r="B23" s="671" t="s">
        <v>672</v>
      </c>
      <c r="C23" s="372">
        <f t="shared" si="3"/>
        <v>6236300</v>
      </c>
      <c r="D23" s="374">
        <f t="shared" si="2"/>
        <v>3.8577038939989594E-2</v>
      </c>
      <c r="E23">
        <v>5218545953</v>
      </c>
      <c r="F23">
        <v>5278350610</v>
      </c>
      <c r="G23" s="371">
        <f t="shared" si="4"/>
        <v>5.9706850597068505E-2</v>
      </c>
      <c r="H23" s="371">
        <f t="shared" si="5"/>
        <v>4.5901520000000001E-2</v>
      </c>
      <c r="I23" s="371">
        <f t="shared" si="6"/>
        <v>5.0152750501527503E-2</v>
      </c>
      <c r="K23">
        <v>4</v>
      </c>
      <c r="L23" s="735">
        <v>0.30638429</v>
      </c>
      <c r="M23" s="735">
        <v>5.7691800000000001E-2</v>
      </c>
      <c r="N23" s="735">
        <v>0.33648969000000001</v>
      </c>
    </row>
    <row r="24" spans="2:14" x14ac:dyDescent="0.3">
      <c r="B24" s="671" t="s">
        <v>673</v>
      </c>
      <c r="C24" s="372">
        <f t="shared" si="3"/>
        <v>2636064</v>
      </c>
      <c r="D24" s="374">
        <f t="shared" si="2"/>
        <v>1.6306390580360909E-2</v>
      </c>
      <c r="E24">
        <v>3423372437</v>
      </c>
      <c r="F24">
        <v>3153246781</v>
      </c>
      <c r="G24" s="371">
        <f t="shared" si="4"/>
        <v>7.679242076792421E-2</v>
      </c>
      <c r="H24" s="371">
        <f t="shared" si="5"/>
        <v>2.787997E-2</v>
      </c>
      <c r="I24" s="371">
        <f t="shared" si="6"/>
        <v>9.8870510988705099E-2</v>
      </c>
      <c r="K24">
        <v>5</v>
      </c>
      <c r="L24" s="735">
        <v>5.9706849999999999E-2</v>
      </c>
      <c r="M24" s="735">
        <v>4.5901520000000001E-2</v>
      </c>
      <c r="N24" s="735">
        <v>5.0152750000000003E-2</v>
      </c>
    </row>
    <row r="25" spans="2:14" x14ac:dyDescent="0.3">
      <c r="B25" s="671" t="s">
        <v>674</v>
      </c>
      <c r="C25" s="372">
        <f t="shared" si="3"/>
        <v>91225383</v>
      </c>
      <c r="D25" s="374">
        <f t="shared" si="2"/>
        <v>0.564309791431853</v>
      </c>
      <c r="E25">
        <v>44759929496</v>
      </c>
      <c r="F25">
        <v>62278057936</v>
      </c>
      <c r="G25" s="371">
        <f t="shared" si="4"/>
        <v>0.14924361149243612</v>
      </c>
      <c r="H25" s="371">
        <f t="shared" si="5"/>
        <v>0.47722135999999998</v>
      </c>
      <c r="I25" s="371">
        <f t="shared" si="6"/>
        <v>0.1490851114908511</v>
      </c>
      <c r="K25">
        <v>6</v>
      </c>
      <c r="L25" s="735">
        <v>7.679242E-2</v>
      </c>
      <c r="M25" s="735">
        <v>2.787997E-2</v>
      </c>
      <c r="N25" s="735">
        <v>9.8870509999999995E-2</v>
      </c>
    </row>
    <row r="26" spans="2:14" x14ac:dyDescent="0.3">
      <c r="B26" s="373"/>
      <c r="C26" s="372" t="s">
        <v>490</v>
      </c>
      <c r="D26" s="374"/>
      <c r="E26" s="372"/>
      <c r="F26" s="372"/>
      <c r="G26" s="374"/>
      <c r="H26" s="374"/>
      <c r="I26" s="374"/>
      <c r="K26">
        <v>7</v>
      </c>
      <c r="L26" s="735">
        <v>0.14924361</v>
      </c>
      <c r="M26" s="735">
        <v>0.47722135999999998</v>
      </c>
      <c r="N26" s="735">
        <v>0.14908510999999999</v>
      </c>
    </row>
    <row r="27" spans="2:14" x14ac:dyDescent="0.3">
      <c r="B27" s="375" t="s">
        <v>491</v>
      </c>
      <c r="C27" s="393">
        <f>+SUM(C19:C25)</f>
        <v>161658338</v>
      </c>
      <c r="D27" s="376">
        <f>C27/$C$27</f>
        <v>1</v>
      </c>
      <c r="E27" s="393">
        <f>+SUM(E19:E25)</f>
        <v>95846167784</v>
      </c>
      <c r="F27" s="393">
        <f>+SUM(F19:F25)</f>
        <v>116968169380</v>
      </c>
      <c r="G27" s="376">
        <v>1</v>
      </c>
      <c r="H27" s="376">
        <v>1</v>
      </c>
      <c r="I27" s="376">
        <v>1</v>
      </c>
      <c r="L27" s="210">
        <v>152200000</v>
      </c>
      <c r="M27" s="210">
        <v>2538000000</v>
      </c>
      <c r="N27" s="210">
        <v>304700000</v>
      </c>
    </row>
    <row r="29" spans="2:14" x14ac:dyDescent="0.3">
      <c r="B29" t="s">
        <v>676</v>
      </c>
    </row>
    <row r="30" spans="2:14" x14ac:dyDescent="0.3">
      <c r="G30" s="735"/>
      <c r="H30" s="735"/>
      <c r="I30" s="735"/>
    </row>
    <row r="31" spans="2:14" x14ac:dyDescent="0.3">
      <c r="G31" s="735"/>
      <c r="H31" s="735"/>
      <c r="I31" s="735"/>
    </row>
    <row r="32" spans="2:14" x14ac:dyDescent="0.3">
      <c r="G32" s="735"/>
      <c r="H32" s="735"/>
      <c r="I32" s="735"/>
    </row>
    <row r="33" spans="7:9" x14ac:dyDescent="0.3">
      <c r="G33" s="735"/>
      <c r="H33" s="735"/>
      <c r="I33" s="735"/>
    </row>
    <row r="34" spans="7:9" x14ac:dyDescent="0.3">
      <c r="G34" s="735"/>
      <c r="H34" s="735"/>
      <c r="I34" s="735"/>
    </row>
    <row r="35" spans="7:9" x14ac:dyDescent="0.3">
      <c r="G35" s="735"/>
      <c r="H35" s="735"/>
      <c r="I35" s="735"/>
    </row>
    <row r="36" spans="7:9" x14ac:dyDescent="0.3">
      <c r="G36" s="735"/>
      <c r="H36" s="735"/>
      <c r="I36" s="735"/>
    </row>
    <row r="37" spans="7:9" x14ac:dyDescent="0.3">
      <c r="G37" s="210"/>
      <c r="H37" s="210"/>
      <c r="I37" s="210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BB24D-F45D-4DA1-9BC4-1D2B0DB5DB7C}">
  <dimension ref="A1:R51"/>
  <sheetViews>
    <sheetView topLeftCell="A4" workbookViewId="0">
      <pane xSplit="1" ySplit="4" topLeftCell="N8" activePane="bottomRight" state="frozen"/>
      <selection activeCell="A4" sqref="A4"/>
      <selection pane="topRight" activeCell="B4" sqref="B4"/>
      <selection pane="bottomLeft" activeCell="A8" sqref="A8"/>
      <selection pane="bottomRight" activeCell="Q9" sqref="Q9"/>
    </sheetView>
  </sheetViews>
  <sheetFormatPr defaultColWidth="11" defaultRowHeight="13" x14ac:dyDescent="0.3"/>
  <cols>
    <col min="1" max="1" width="39.109375" customWidth="1"/>
    <col min="2" max="6" width="11" customWidth="1"/>
    <col min="7" max="7" width="12.109375" bestFit="1" customWidth="1"/>
  </cols>
  <sheetData>
    <row r="1" spans="1:18" ht="15.5" x14ac:dyDescent="0.35">
      <c r="A1" s="212" t="s">
        <v>249</v>
      </c>
      <c r="B1" s="213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</row>
    <row r="2" spans="1:18" ht="15.5" x14ac:dyDescent="0.35">
      <c r="A2" s="212"/>
      <c r="B2" s="213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</row>
    <row r="3" spans="1:18" ht="15.5" x14ac:dyDescent="0.35">
      <c r="A3" s="215" t="s">
        <v>597</v>
      </c>
      <c r="B3" s="213"/>
      <c r="C3" s="214"/>
      <c r="D3" s="214"/>
      <c r="E3" s="214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</row>
    <row r="4" spans="1:18" x14ac:dyDescent="0.3">
      <c r="A4" s="216" t="s">
        <v>250</v>
      </c>
      <c r="B4" s="217"/>
      <c r="C4" s="17"/>
      <c r="D4" s="17"/>
      <c r="E4" s="17"/>
      <c r="F4" s="17"/>
      <c r="G4" s="17"/>
      <c r="H4" s="17"/>
      <c r="I4" s="17"/>
      <c r="J4" s="17"/>
      <c r="K4" s="214"/>
      <c r="L4" s="214"/>
      <c r="M4" s="214"/>
      <c r="N4" s="214"/>
      <c r="O4" s="214"/>
      <c r="P4" s="214"/>
    </row>
    <row r="5" spans="1:18" x14ac:dyDescent="0.3">
      <c r="A5" s="218"/>
      <c r="B5" s="217"/>
      <c r="C5" s="17"/>
      <c r="D5" s="17"/>
      <c r="E5" s="17"/>
      <c r="F5" s="17"/>
      <c r="G5" s="17"/>
      <c r="H5" s="17"/>
      <c r="I5" s="17"/>
      <c r="J5" s="17"/>
      <c r="K5" s="214"/>
      <c r="L5" s="214"/>
      <c r="M5" s="214"/>
      <c r="N5" s="214"/>
      <c r="O5" s="214"/>
      <c r="P5" s="214"/>
    </row>
    <row r="6" spans="1:18" x14ac:dyDescent="0.3">
      <c r="A6" s="219" t="s">
        <v>251</v>
      </c>
      <c r="B6" s="220">
        <v>1990</v>
      </c>
      <c r="C6" s="220">
        <v>1991</v>
      </c>
      <c r="D6" s="220">
        <v>1992</v>
      </c>
      <c r="E6" s="220" t="s">
        <v>252</v>
      </c>
      <c r="F6" s="292" t="s">
        <v>253</v>
      </c>
      <c r="G6" s="220" t="s">
        <v>254</v>
      </c>
      <c r="H6" s="220">
        <v>1996</v>
      </c>
      <c r="I6" s="220">
        <v>1997</v>
      </c>
      <c r="J6" s="220">
        <v>1998</v>
      </c>
      <c r="K6" s="220">
        <v>1999</v>
      </c>
      <c r="L6" s="221" t="s">
        <v>255</v>
      </c>
      <c r="M6" s="221" t="s">
        <v>589</v>
      </c>
      <c r="N6" s="221" t="s">
        <v>14</v>
      </c>
      <c r="O6" s="221" t="s">
        <v>590</v>
      </c>
      <c r="P6" s="720" t="s">
        <v>774</v>
      </c>
    </row>
    <row r="7" spans="1:18" x14ac:dyDescent="0.3">
      <c r="A7" s="222"/>
      <c r="B7" s="346"/>
      <c r="C7" s="346"/>
      <c r="D7" s="346"/>
      <c r="E7" s="220"/>
      <c r="F7" s="454"/>
      <c r="G7" s="220"/>
      <c r="H7" s="220"/>
      <c r="I7" s="220"/>
      <c r="J7" s="220"/>
      <c r="K7" s="220"/>
      <c r="L7" s="221"/>
      <c r="M7" s="221"/>
      <c r="N7" s="221"/>
      <c r="O7" s="221"/>
      <c r="P7" s="720"/>
    </row>
    <row r="8" spans="1:18" x14ac:dyDescent="0.3">
      <c r="A8" s="223" t="s">
        <v>256</v>
      </c>
      <c r="B8" s="224">
        <v>-1418</v>
      </c>
      <c r="C8" s="224">
        <v>-1505.3896009464911</v>
      </c>
      <c r="D8" s="224">
        <v>-2090.159442622326</v>
      </c>
      <c r="E8" s="224">
        <v>-2292.5785412221576</v>
      </c>
      <c r="F8" s="293">
        <v>-2701.2522945841156</v>
      </c>
      <c r="G8" s="225">
        <v>-4624.5316416113483</v>
      </c>
      <c r="H8" s="225">
        <v>-3646.4880567857567</v>
      </c>
      <c r="I8" s="225">
        <v>-3366.7542624438101</v>
      </c>
      <c r="J8" s="225">
        <v>-3321.1609897483022</v>
      </c>
      <c r="K8" s="225">
        <v>-1464.7170295314543</v>
      </c>
      <c r="L8" s="225">
        <v>-1558.9158691328873</v>
      </c>
      <c r="M8" s="225">
        <v>-1159.1697964194373</v>
      </c>
      <c r="N8" s="225">
        <v>-1127.0336092646439</v>
      </c>
      <c r="O8" s="225">
        <v>-1060.6520067906354</v>
      </c>
      <c r="P8" s="225">
        <v>-70.799901001077728</v>
      </c>
      <c r="R8" s="752"/>
    </row>
    <row r="9" spans="1:18" x14ac:dyDescent="0.3">
      <c r="A9" s="226" t="s">
        <v>257</v>
      </c>
      <c r="B9" s="227">
        <v>399</v>
      </c>
      <c r="C9" s="227">
        <v>-188.85687266640002</v>
      </c>
      <c r="D9" s="227">
        <v>-340.48815192382278</v>
      </c>
      <c r="E9" s="227">
        <v>-606.53384040374078</v>
      </c>
      <c r="F9" s="294">
        <v>-1075.0739994249484</v>
      </c>
      <c r="G9" s="228">
        <v>-2241.4691344095827</v>
      </c>
      <c r="H9" s="228">
        <v>-1990.9329154079251</v>
      </c>
      <c r="I9" s="228">
        <v>-1678.4109590082453</v>
      </c>
      <c r="J9" s="228">
        <v>-2437.3337805160972</v>
      </c>
      <c r="K9" s="228">
        <v>-655.45139050086095</v>
      </c>
      <c r="L9" s="228">
        <v>-411.02174346893139</v>
      </c>
      <c r="M9" s="228">
        <v>-195.45700285359476</v>
      </c>
      <c r="N9" s="228">
        <v>305.93946494920829</v>
      </c>
      <c r="O9" s="228">
        <v>731.07587216327306</v>
      </c>
      <c r="P9" s="228">
        <v>2729.2821966157771</v>
      </c>
      <c r="R9" s="753"/>
    </row>
    <row r="10" spans="1:18" x14ac:dyDescent="0.3">
      <c r="A10" s="226" t="s">
        <v>258</v>
      </c>
      <c r="B10" s="229">
        <v>3321</v>
      </c>
      <c r="C10" s="229">
        <v>3406.4483450667999</v>
      </c>
      <c r="D10" s="229">
        <v>3660.9576295461775</v>
      </c>
      <c r="E10" s="229">
        <v>3516.2229585191881</v>
      </c>
      <c r="F10" s="296">
        <v>4424.1397983408515</v>
      </c>
      <c r="G10" s="231">
        <v>5491.4233941389175</v>
      </c>
      <c r="H10" s="231">
        <v>5877.6437051950743</v>
      </c>
      <c r="I10" s="231">
        <v>6824.5584814457561</v>
      </c>
      <c r="J10" s="231">
        <v>5756.7759352069024</v>
      </c>
      <c r="K10" s="231">
        <v>6087.5251080518901</v>
      </c>
      <c r="L10" s="231">
        <v>6954.9108240684682</v>
      </c>
      <c r="M10" s="231">
        <v>7025.7312402477855</v>
      </c>
      <c r="N10" s="231">
        <v>7722.8651305056937</v>
      </c>
      <c r="O10" s="231">
        <v>8985.6177410167875</v>
      </c>
      <c r="P10" s="231">
        <v>12547.112271093802</v>
      </c>
      <c r="Q10" s="209">
        <f>+(O10+O13)*O51</f>
        <v>37097.992551444491</v>
      </c>
      <c r="R10" s="753"/>
    </row>
    <row r="11" spans="1:18" x14ac:dyDescent="0.3">
      <c r="A11" s="226" t="s">
        <v>259</v>
      </c>
      <c r="B11" s="229">
        <v>-2922</v>
      </c>
      <c r="C11" s="229">
        <v>-3595.3052177332002</v>
      </c>
      <c r="D11" s="229">
        <v>-4001.4457814699999</v>
      </c>
      <c r="E11" s="229">
        <v>-4122.7567989229283</v>
      </c>
      <c r="F11" s="296">
        <v>-5499.2137977658003</v>
      </c>
      <c r="G11" s="231">
        <v>-7732.8925285485002</v>
      </c>
      <c r="H11" s="231">
        <v>-7868.5766206030003</v>
      </c>
      <c r="I11" s="231">
        <v>-8502.9694404540005</v>
      </c>
      <c r="J11" s="231">
        <v>-8194.1097157229997</v>
      </c>
      <c r="K11" s="231">
        <v>-6742.9764985527509</v>
      </c>
      <c r="L11" s="231">
        <v>-7365.9325675373993</v>
      </c>
      <c r="M11" s="231">
        <v>-7221.1882431013792</v>
      </c>
      <c r="N11" s="231">
        <v>-7416.925665556485</v>
      </c>
      <c r="O11" s="231">
        <v>-8254.5418688535137</v>
      </c>
      <c r="P11" s="231">
        <v>-9817.8300744780245</v>
      </c>
      <c r="Q11" s="209">
        <f>+(O11+O14)*O51</f>
        <v>-37792.231295454563</v>
      </c>
      <c r="R11" s="753"/>
    </row>
    <row r="12" spans="1:18" x14ac:dyDescent="0.3">
      <c r="A12" s="226" t="s">
        <v>260</v>
      </c>
      <c r="B12" s="227">
        <v>-365</v>
      </c>
      <c r="C12" s="227">
        <v>-412.64758128372432</v>
      </c>
      <c r="D12" s="227">
        <v>-575.13611613981243</v>
      </c>
      <c r="E12" s="227">
        <v>-574.91840067282419</v>
      </c>
      <c r="F12" s="294">
        <v>-470.26704687599999</v>
      </c>
      <c r="G12" s="228">
        <v>-733.24270457902617</v>
      </c>
      <c r="H12" s="228">
        <v>-670.84712961755645</v>
      </c>
      <c r="I12" s="228">
        <v>-786.37176322749565</v>
      </c>
      <c r="J12" s="228">
        <v>-657.08653291244082</v>
      </c>
      <c r="K12" s="228">
        <v>-662.76941170555347</v>
      </c>
      <c r="L12" s="228">
        <v>-737.57883906206632</v>
      </c>
      <c r="M12" s="228">
        <v>-881.3758255069547</v>
      </c>
      <c r="N12" s="228">
        <v>-985.81486354191702</v>
      </c>
      <c r="O12" s="228">
        <v>-930.64172348132104</v>
      </c>
      <c r="P12" s="228">
        <v>-957.10982707859989</v>
      </c>
      <c r="R12" s="753"/>
    </row>
    <row r="13" spans="1:18" x14ac:dyDescent="0.3">
      <c r="A13" s="226" t="s">
        <v>258</v>
      </c>
      <c r="B13" s="229">
        <v>799</v>
      </c>
      <c r="C13" s="229">
        <v>825.60838271109583</v>
      </c>
      <c r="D13" s="229">
        <v>836.30443704999993</v>
      </c>
      <c r="E13" s="229">
        <v>837.35566199999994</v>
      </c>
      <c r="F13" s="296">
        <v>1063.5750021199999</v>
      </c>
      <c r="G13" s="231">
        <v>1131.0740535203438</v>
      </c>
      <c r="H13" s="231">
        <v>1414.2001330199998</v>
      </c>
      <c r="I13" s="231">
        <v>1552.6389302657112</v>
      </c>
      <c r="J13" s="231">
        <v>1774.6105372845595</v>
      </c>
      <c r="K13" s="231">
        <v>1593.7250872802406</v>
      </c>
      <c r="L13" s="231">
        <v>1603.5757675574312</v>
      </c>
      <c r="M13" s="231">
        <v>1509.8693386366033</v>
      </c>
      <c r="N13" s="231">
        <v>1543.7080216768647</v>
      </c>
      <c r="O13" s="231">
        <v>1678.5702340815246</v>
      </c>
      <c r="P13" s="231">
        <v>1844.0647588044194</v>
      </c>
      <c r="R13" s="753"/>
    </row>
    <row r="14" spans="1:18" x14ac:dyDescent="0.3">
      <c r="A14" s="226" t="s">
        <v>259</v>
      </c>
      <c r="B14" s="229">
        <v>-1164</v>
      </c>
      <c r="C14" s="229">
        <v>-1238.2559639948201</v>
      </c>
      <c r="D14" s="229">
        <v>-1411.4405531898124</v>
      </c>
      <c r="E14" s="229">
        <v>-1412.2740626728241</v>
      </c>
      <c r="F14" s="296">
        <v>-1533.8420489959999</v>
      </c>
      <c r="G14" s="231">
        <v>-1864.31675809937</v>
      </c>
      <c r="H14" s="231">
        <v>-2085.0472626375563</v>
      </c>
      <c r="I14" s="231">
        <v>-2339.0106934932069</v>
      </c>
      <c r="J14" s="231">
        <v>-2431.6970701970004</v>
      </c>
      <c r="K14" s="231">
        <v>-2256.4944989857941</v>
      </c>
      <c r="L14" s="231">
        <v>-2341.1546066194974</v>
      </c>
      <c r="M14" s="231">
        <v>-2391.2451641435582</v>
      </c>
      <c r="N14" s="231">
        <v>-2529.522885218782</v>
      </c>
      <c r="O14" s="231">
        <v>-2609.2119575628458</v>
      </c>
      <c r="P14" s="231">
        <v>-2801.1745858830195</v>
      </c>
      <c r="Q14" s="209"/>
      <c r="R14" s="753"/>
    </row>
    <row r="15" spans="1:18" x14ac:dyDescent="0.3">
      <c r="A15" s="226" t="s">
        <v>261</v>
      </c>
      <c r="B15" s="224">
        <v>-1733</v>
      </c>
      <c r="C15" s="224">
        <v>-1370.5051469963669</v>
      </c>
      <c r="D15" s="224">
        <v>-1634.6785991586905</v>
      </c>
      <c r="E15" s="224">
        <v>-1618.9715201455929</v>
      </c>
      <c r="F15" s="293">
        <v>-1943.8633650531672</v>
      </c>
      <c r="G15" s="225">
        <v>-2481.8448401527394</v>
      </c>
      <c r="H15" s="225">
        <v>-1898.5217015302755</v>
      </c>
      <c r="I15" s="225">
        <v>-1822.2274824580695</v>
      </c>
      <c r="J15" s="225">
        <v>-1203.9212247697644</v>
      </c>
      <c r="K15" s="225">
        <v>-1112.0390406050401</v>
      </c>
      <c r="L15" s="225">
        <v>-1409.5938540418897</v>
      </c>
      <c r="M15" s="225">
        <v>-1123.9460654950337</v>
      </c>
      <c r="N15" s="225">
        <v>-1490.5325166949569</v>
      </c>
      <c r="O15" s="225">
        <v>-2081.760402129195</v>
      </c>
      <c r="P15" s="228">
        <v>-3306.6646183222874</v>
      </c>
      <c r="R15" s="753"/>
    </row>
    <row r="16" spans="1:18" x14ac:dyDescent="0.3">
      <c r="A16" s="226" t="s">
        <v>262</v>
      </c>
      <c r="B16" s="229">
        <v>-35</v>
      </c>
      <c r="C16" s="229">
        <v>-54.947420904065318</v>
      </c>
      <c r="D16" s="229">
        <v>-228.47626097573371</v>
      </c>
      <c r="E16" s="229">
        <v>-243.04126801523316</v>
      </c>
      <c r="F16" s="296">
        <v>-492.83766199767138</v>
      </c>
      <c r="G16" s="231">
        <v>-1080.1705744694866</v>
      </c>
      <c r="H16" s="231">
        <v>-1000.8655326129465</v>
      </c>
      <c r="I16" s="231">
        <v>-1324.4776931019069</v>
      </c>
      <c r="J16" s="231">
        <v>-762.19900238481375</v>
      </c>
      <c r="K16" s="231">
        <v>-548.57129308252752</v>
      </c>
      <c r="L16" s="231">
        <v>-896.45453852403125</v>
      </c>
      <c r="M16" s="231">
        <v>-550.22045264143401</v>
      </c>
      <c r="N16" s="231">
        <v>-747.02238978185073</v>
      </c>
      <c r="O16" s="231">
        <v>-1212.557844444196</v>
      </c>
      <c r="P16" s="231">
        <v>-2325.6726703779409</v>
      </c>
      <c r="R16" s="753"/>
    </row>
    <row r="17" spans="1:18" x14ac:dyDescent="0.3">
      <c r="A17" s="226" t="s">
        <v>263</v>
      </c>
      <c r="B17" s="229">
        <v>-1698</v>
      </c>
      <c r="C17" s="229">
        <v>-1315.5577260923017</v>
      </c>
      <c r="D17" s="229">
        <v>-1406.2023381829567</v>
      </c>
      <c r="E17" s="229">
        <v>-1375.9302521303598</v>
      </c>
      <c r="F17" s="296">
        <v>-1451.0257030554958</v>
      </c>
      <c r="G17" s="231">
        <v>-1401.6742656832525</v>
      </c>
      <c r="H17" s="231">
        <v>-897.65616891732918</v>
      </c>
      <c r="I17" s="231">
        <v>-497.74978935616275</v>
      </c>
      <c r="J17" s="231">
        <v>-441.72222238495067</v>
      </c>
      <c r="K17" s="231">
        <v>-563.46774752251247</v>
      </c>
      <c r="L17" s="231">
        <v>-513.13931551785845</v>
      </c>
      <c r="M17" s="231">
        <v>-573.72561285359973</v>
      </c>
      <c r="N17" s="231">
        <v>-743.51012691310598</v>
      </c>
      <c r="O17" s="231">
        <v>-869.20255768499896</v>
      </c>
      <c r="P17" s="231">
        <v>-980.99194794434663</v>
      </c>
      <c r="R17" s="753"/>
    </row>
    <row r="18" spans="1:18" x14ac:dyDescent="0.3">
      <c r="A18" s="226" t="s">
        <v>264</v>
      </c>
      <c r="B18" s="224">
        <v>281</v>
      </c>
      <c r="C18" s="224">
        <v>466.62</v>
      </c>
      <c r="D18" s="224">
        <v>460.14342459999995</v>
      </c>
      <c r="E18" s="224">
        <v>507.84522000000004</v>
      </c>
      <c r="F18" s="294">
        <v>787.95211676999998</v>
      </c>
      <c r="G18" s="228">
        <v>832.02503752999996</v>
      </c>
      <c r="H18" s="228">
        <v>913.81368977000011</v>
      </c>
      <c r="I18" s="228">
        <v>920.25594225000009</v>
      </c>
      <c r="J18" s="228">
        <v>977.18054845000006</v>
      </c>
      <c r="K18" s="228">
        <v>965.54281328000002</v>
      </c>
      <c r="L18" s="228">
        <v>999.27856743999996</v>
      </c>
      <c r="M18" s="228">
        <v>1041.6090974361459</v>
      </c>
      <c r="N18" s="228">
        <v>1043.3743060230217</v>
      </c>
      <c r="O18" s="228">
        <v>1220.6742466566075</v>
      </c>
      <c r="P18" s="231">
        <v>1463.6923477840326</v>
      </c>
      <c r="R18" s="753"/>
    </row>
    <row r="19" spans="1:18" x14ac:dyDescent="0.3">
      <c r="A19" s="223" t="s">
        <v>265</v>
      </c>
      <c r="B19" s="224">
        <v>-713</v>
      </c>
      <c r="C19" s="224">
        <v>-55.817388260098824</v>
      </c>
      <c r="D19" s="224">
        <v>856.70105651986501</v>
      </c>
      <c r="E19" s="224">
        <v>1829.8563463037622</v>
      </c>
      <c r="F19" s="293">
        <v>3834.5728083227013</v>
      </c>
      <c r="G19" s="225">
        <v>3747.8929128899999</v>
      </c>
      <c r="H19" s="225">
        <v>3922.0840000000003</v>
      </c>
      <c r="I19" s="225">
        <v>5813.3089999999993</v>
      </c>
      <c r="J19" s="225">
        <v>1797.5694829264708</v>
      </c>
      <c r="K19" s="225">
        <v>586.79636799999935</v>
      </c>
      <c r="L19" s="225">
        <v>1025.8686628153068</v>
      </c>
      <c r="M19" s="225">
        <v>1598.5239413399997</v>
      </c>
      <c r="N19" s="225">
        <v>1839.7574142075969</v>
      </c>
      <c r="O19" s="225">
        <v>914.37434513709206</v>
      </c>
      <c r="P19" s="228">
        <v>2294.0947193287234</v>
      </c>
      <c r="R19" s="752"/>
    </row>
    <row r="20" spans="1:18" x14ac:dyDescent="0.3">
      <c r="A20" s="226" t="s">
        <v>266</v>
      </c>
      <c r="B20" s="229">
        <v>47</v>
      </c>
      <c r="C20" s="229">
        <v>138.68261173990118</v>
      </c>
      <c r="D20" s="229">
        <v>233.70105651986461</v>
      </c>
      <c r="E20" s="229">
        <v>1219.8563463037622</v>
      </c>
      <c r="F20" s="296">
        <v>3958.0728083227018</v>
      </c>
      <c r="G20" s="231">
        <v>3071.8929128899999</v>
      </c>
      <c r="H20" s="231">
        <v>4338.4840000000004</v>
      </c>
      <c r="I20" s="231">
        <v>2832.5479999999998</v>
      </c>
      <c r="J20" s="231">
        <v>1805.0694829264708</v>
      </c>
      <c r="K20" s="231">
        <v>1678.0063679999994</v>
      </c>
      <c r="L20" s="231">
        <v>1480.8106628153068</v>
      </c>
      <c r="M20" s="231">
        <v>982.8439413399999</v>
      </c>
      <c r="N20" s="231">
        <v>1537.8964142075968</v>
      </c>
      <c r="O20" s="231">
        <v>82.315998316283526</v>
      </c>
      <c r="P20" s="231">
        <v>1036.0821008844498</v>
      </c>
      <c r="R20" s="753"/>
    </row>
    <row r="21" spans="1:18" x14ac:dyDescent="0.3">
      <c r="A21" s="226" t="s">
        <v>267</v>
      </c>
      <c r="B21" s="229">
        <v>-1067</v>
      </c>
      <c r="C21" s="229">
        <v>-129</v>
      </c>
      <c r="D21" s="229">
        <v>-411</v>
      </c>
      <c r="E21" s="229">
        <v>473</v>
      </c>
      <c r="F21" s="296">
        <v>-260</v>
      </c>
      <c r="G21" s="231">
        <v>-167</v>
      </c>
      <c r="H21" s="231">
        <v>-411</v>
      </c>
      <c r="I21" s="231">
        <v>509.86099999999999</v>
      </c>
      <c r="J21" s="231">
        <v>64</v>
      </c>
      <c r="K21" s="231">
        <v>385.16</v>
      </c>
      <c r="L21" s="231">
        <v>280.05799999999988</v>
      </c>
      <c r="M21" s="231">
        <v>426.68</v>
      </c>
      <c r="N21" s="231">
        <v>1095.8609999999999</v>
      </c>
      <c r="O21" s="231">
        <v>684.66299999999978</v>
      </c>
      <c r="P21" s="231">
        <v>1028.1320000000001</v>
      </c>
      <c r="R21" s="753"/>
    </row>
    <row r="22" spans="1:18" x14ac:dyDescent="0.3">
      <c r="A22" s="226" t="s">
        <v>268</v>
      </c>
      <c r="B22" s="229">
        <v>308</v>
      </c>
      <c r="C22" s="229">
        <v>-65.5</v>
      </c>
      <c r="D22" s="229">
        <v>1034</v>
      </c>
      <c r="E22" s="229">
        <v>137</v>
      </c>
      <c r="F22" s="296">
        <v>136.5</v>
      </c>
      <c r="G22" s="231">
        <v>843</v>
      </c>
      <c r="H22" s="231">
        <v>-5.4000000000000199</v>
      </c>
      <c r="I22" s="231">
        <v>2470.9</v>
      </c>
      <c r="J22" s="231">
        <v>-71.5</v>
      </c>
      <c r="K22" s="231">
        <v>-1476.37</v>
      </c>
      <c r="L22" s="231">
        <v>-735</v>
      </c>
      <c r="M22" s="231">
        <v>189</v>
      </c>
      <c r="N22" s="231">
        <v>-794</v>
      </c>
      <c r="O22" s="231">
        <v>147.39534682080875</v>
      </c>
      <c r="P22" s="231">
        <v>229.88061844427341</v>
      </c>
      <c r="R22" s="753"/>
    </row>
    <row r="23" spans="1:18" x14ac:dyDescent="0.3">
      <c r="A23" s="223" t="s">
        <v>269</v>
      </c>
      <c r="B23" s="224">
        <v>2491</v>
      </c>
      <c r="C23" s="224">
        <v>1390</v>
      </c>
      <c r="D23" s="224">
        <v>1490</v>
      </c>
      <c r="E23" s="224">
        <v>629</v>
      </c>
      <c r="F23" s="293">
        <v>1506.2968000000001</v>
      </c>
      <c r="G23" s="225">
        <v>1511.83</v>
      </c>
      <c r="H23" s="225">
        <v>903.75440000000003</v>
      </c>
      <c r="I23" s="225">
        <v>-711</v>
      </c>
      <c r="J23" s="225">
        <v>244</v>
      </c>
      <c r="K23" s="225">
        <v>24.273999999999997</v>
      </c>
      <c r="L23" s="225">
        <v>-57.93</v>
      </c>
      <c r="M23" s="225">
        <v>-1.2210000000000016</v>
      </c>
      <c r="N23" s="225">
        <v>13.591999999999999</v>
      </c>
      <c r="O23" s="225">
        <v>63.932999999999993</v>
      </c>
      <c r="P23" s="225">
        <v>26.337000000000003</v>
      </c>
      <c r="R23" s="752"/>
    </row>
    <row r="24" spans="1:18" x14ac:dyDescent="0.3">
      <c r="A24" s="226" t="s">
        <v>270</v>
      </c>
      <c r="B24" s="229">
        <v>0</v>
      </c>
      <c r="C24" s="229">
        <v>0</v>
      </c>
      <c r="D24" s="229">
        <v>0</v>
      </c>
      <c r="E24" s="229">
        <v>0</v>
      </c>
      <c r="F24" s="295">
        <v>0</v>
      </c>
      <c r="G24" s="230">
        <v>0</v>
      </c>
      <c r="H24" s="230">
        <v>0</v>
      </c>
      <c r="I24" s="230">
        <v>4873</v>
      </c>
      <c r="J24" s="230">
        <v>0</v>
      </c>
      <c r="K24" s="231">
        <v>0</v>
      </c>
      <c r="L24" s="231">
        <v>0</v>
      </c>
      <c r="M24" s="231">
        <v>0</v>
      </c>
      <c r="N24" s="231">
        <v>0</v>
      </c>
      <c r="O24" s="231">
        <v>0</v>
      </c>
      <c r="P24" s="231"/>
      <c r="R24" s="752"/>
    </row>
    <row r="25" spans="1:18" x14ac:dyDescent="0.3">
      <c r="A25" s="226" t="s">
        <v>271</v>
      </c>
      <c r="B25" s="229">
        <v>25</v>
      </c>
      <c r="C25" s="229">
        <v>5529</v>
      </c>
      <c r="D25" s="229">
        <v>691</v>
      </c>
      <c r="E25" s="229">
        <v>1313</v>
      </c>
      <c r="F25" s="296">
        <v>705</v>
      </c>
      <c r="G25" s="231">
        <v>676</v>
      </c>
      <c r="H25" s="231">
        <v>586</v>
      </c>
      <c r="I25" s="231">
        <v>431</v>
      </c>
      <c r="J25" s="231">
        <v>217</v>
      </c>
      <c r="K25" s="231">
        <v>0</v>
      </c>
      <c r="L25" s="231">
        <v>0</v>
      </c>
      <c r="M25" s="231">
        <v>54</v>
      </c>
      <c r="N25" s="231">
        <v>0</v>
      </c>
      <c r="O25" s="231">
        <v>0</v>
      </c>
      <c r="P25" s="231"/>
      <c r="R25" s="752"/>
    </row>
    <row r="26" spans="1:18" x14ac:dyDescent="0.3">
      <c r="A26" s="226" t="s">
        <v>272</v>
      </c>
      <c r="B26" s="229">
        <v>0</v>
      </c>
      <c r="C26" s="229">
        <v>12</v>
      </c>
      <c r="D26" s="229">
        <v>53</v>
      </c>
      <c r="E26" s="229">
        <v>7</v>
      </c>
      <c r="F26" s="296">
        <v>33</v>
      </c>
      <c r="G26" s="231">
        <v>28</v>
      </c>
      <c r="H26" s="231">
        <v>42</v>
      </c>
      <c r="I26" s="231">
        <v>124</v>
      </c>
      <c r="J26" s="231">
        <v>36</v>
      </c>
      <c r="K26" s="231">
        <v>38.344999999999999</v>
      </c>
      <c r="L26" s="231">
        <v>0.52</v>
      </c>
      <c r="M26" s="231">
        <v>0.77900000000000003</v>
      </c>
      <c r="N26" s="231">
        <v>13.591999999999999</v>
      </c>
      <c r="O26" s="231">
        <v>63.932999999999993</v>
      </c>
      <c r="P26" s="231">
        <v>26</v>
      </c>
      <c r="R26" s="753"/>
    </row>
    <row r="27" spans="1:18" x14ac:dyDescent="0.3">
      <c r="A27" s="226" t="s">
        <v>273</v>
      </c>
      <c r="B27" s="229">
        <v>2466</v>
      </c>
      <c r="C27" s="229">
        <v>-4151</v>
      </c>
      <c r="D27" s="229">
        <v>746</v>
      </c>
      <c r="E27" s="229">
        <v>-691</v>
      </c>
      <c r="F27" s="296">
        <v>768.29679999999996</v>
      </c>
      <c r="G27" s="231">
        <v>807.83</v>
      </c>
      <c r="H27" s="231">
        <v>275.75439999999998</v>
      </c>
      <c r="I27" s="231">
        <v>-6139</v>
      </c>
      <c r="J27" s="231">
        <v>-9</v>
      </c>
      <c r="K27" s="231">
        <v>-14.071000000000002</v>
      </c>
      <c r="L27" s="231">
        <v>-58.45</v>
      </c>
      <c r="M27" s="231">
        <v>-56</v>
      </c>
      <c r="N27" s="231">
        <v>0</v>
      </c>
      <c r="O27" s="231">
        <v>0</v>
      </c>
      <c r="P27" s="231"/>
      <c r="R27" s="753"/>
    </row>
    <row r="28" spans="1:18" x14ac:dyDescent="0.3">
      <c r="A28" s="223" t="s">
        <v>274</v>
      </c>
      <c r="B28" s="224">
        <v>-176</v>
      </c>
      <c r="C28" s="224">
        <v>-788</v>
      </c>
      <c r="D28" s="224">
        <v>-716</v>
      </c>
      <c r="E28" s="224">
        <v>-657</v>
      </c>
      <c r="F28" s="293">
        <v>-2978</v>
      </c>
      <c r="G28" s="225">
        <v>-929</v>
      </c>
      <c r="H28" s="225">
        <v>-1931.9585400000001</v>
      </c>
      <c r="I28" s="225">
        <v>-1732.97</v>
      </c>
      <c r="J28" s="225">
        <v>1006.129</v>
      </c>
      <c r="K28" s="225">
        <v>774.51125000000002</v>
      </c>
      <c r="L28" s="225">
        <v>189.76960600000007</v>
      </c>
      <c r="M28" s="225">
        <v>-448.37617262800001</v>
      </c>
      <c r="N28" s="225">
        <v>-831.92499999999995</v>
      </c>
      <c r="O28" s="225">
        <v>-478.82584999999898</v>
      </c>
      <c r="P28" s="225">
        <v>-2308.6882500000011</v>
      </c>
      <c r="R28" s="752"/>
    </row>
    <row r="29" spans="1:18" x14ac:dyDescent="0.3">
      <c r="A29" s="223" t="s">
        <v>275</v>
      </c>
      <c r="B29" s="224"/>
      <c r="C29" s="224"/>
      <c r="D29" s="224"/>
      <c r="E29" s="224"/>
      <c r="F29" s="293"/>
      <c r="G29" s="225"/>
      <c r="H29" s="225"/>
      <c r="I29" s="225"/>
      <c r="J29" s="225"/>
      <c r="K29" s="225"/>
      <c r="L29" s="225"/>
      <c r="M29" s="225"/>
      <c r="N29" s="225"/>
      <c r="O29" s="225"/>
      <c r="P29" s="225"/>
      <c r="R29" s="753"/>
    </row>
    <row r="30" spans="1:18" x14ac:dyDescent="0.3">
      <c r="A30" s="226" t="s">
        <v>276</v>
      </c>
      <c r="B30" s="229">
        <v>-174</v>
      </c>
      <c r="C30" s="229">
        <v>-772.6</v>
      </c>
      <c r="D30" s="229">
        <v>-697.1</v>
      </c>
      <c r="E30" s="229">
        <v>-741</v>
      </c>
      <c r="F30" s="296">
        <v>-2976</v>
      </c>
      <c r="G30" s="231">
        <v>-923</v>
      </c>
      <c r="H30" s="231">
        <v>-1899</v>
      </c>
      <c r="I30" s="231">
        <v>-1629</v>
      </c>
      <c r="J30" s="231">
        <v>986</v>
      </c>
      <c r="K30" s="231">
        <v>780</v>
      </c>
      <c r="L30" s="231">
        <v>224</v>
      </c>
      <c r="M30" s="231">
        <v>-433.3</v>
      </c>
      <c r="N30" s="231">
        <v>-985.4</v>
      </c>
      <c r="O30" s="231">
        <v>-596.49474999999904</v>
      </c>
      <c r="P30" s="231">
        <v>-2436.8252500000008</v>
      </c>
      <c r="R30" s="753"/>
    </row>
    <row r="31" spans="1:18" x14ac:dyDescent="0.3">
      <c r="A31" s="226" t="s">
        <v>277</v>
      </c>
      <c r="B31" s="229">
        <v>2</v>
      </c>
      <c r="C31" s="229">
        <v>15</v>
      </c>
      <c r="D31" s="229">
        <v>19</v>
      </c>
      <c r="E31" s="229">
        <v>-84</v>
      </c>
      <c r="F31" s="296">
        <v>2</v>
      </c>
      <c r="G31" s="231">
        <v>6</v>
      </c>
      <c r="H31" s="231">
        <v>32.958539999999999</v>
      </c>
      <c r="I31" s="231">
        <v>103.97</v>
      </c>
      <c r="J31" s="231">
        <v>-20.128999999999998</v>
      </c>
      <c r="K31" s="231">
        <v>5.4887499999999871</v>
      </c>
      <c r="L31" s="231">
        <v>34.230394000000004</v>
      </c>
      <c r="M31" s="231">
        <v>15.076172627999991</v>
      </c>
      <c r="N31" s="231">
        <v>-153.47499999999999</v>
      </c>
      <c r="O31" s="231">
        <v>-117.66890000000001</v>
      </c>
      <c r="P31" s="231">
        <v>-128.137</v>
      </c>
      <c r="R31" s="753"/>
    </row>
    <row r="32" spans="1:18" x14ac:dyDescent="0.3">
      <c r="A32" s="223" t="s">
        <v>282</v>
      </c>
      <c r="B32" s="224">
        <v>-184</v>
      </c>
      <c r="C32" s="224">
        <v>958.80698920658983</v>
      </c>
      <c r="D32" s="224">
        <v>459.55838610246144</v>
      </c>
      <c r="E32" s="224">
        <v>490.72219491839542</v>
      </c>
      <c r="F32" s="294">
        <v>338.38268626141416</v>
      </c>
      <c r="G32" s="228">
        <v>293.80872872134842</v>
      </c>
      <c r="H32" s="228">
        <v>752.60819678575649</v>
      </c>
      <c r="I32" s="228">
        <v>-2.5847375561891113</v>
      </c>
      <c r="J32" s="228">
        <v>273.46250682183143</v>
      </c>
      <c r="K32" s="228">
        <v>79.135411531454906</v>
      </c>
      <c r="L32" s="228">
        <v>401.20760031758039</v>
      </c>
      <c r="M32" s="228">
        <v>10.243027707437534</v>
      </c>
      <c r="N32" s="228">
        <v>105.60919505704658</v>
      </c>
      <c r="O32" s="228">
        <v>561.17051165354223</v>
      </c>
      <c r="P32" s="228">
        <v>59.056431672354933</v>
      </c>
      <c r="R32" s="752"/>
    </row>
    <row r="33" spans="1:16" x14ac:dyDescent="0.3">
      <c r="A33" s="223" t="s">
        <v>283</v>
      </c>
      <c r="B33" s="232"/>
      <c r="C33" s="232"/>
      <c r="D33" s="232"/>
      <c r="E33" s="232"/>
      <c r="F33" s="306"/>
      <c r="G33" s="233"/>
      <c r="H33" s="233"/>
      <c r="I33" s="233"/>
      <c r="J33" s="233"/>
      <c r="K33" s="233"/>
      <c r="L33" s="233"/>
      <c r="M33" s="233"/>
      <c r="N33" s="233"/>
      <c r="O33" s="233"/>
      <c r="P33" s="233"/>
    </row>
    <row r="34" spans="1:16" x14ac:dyDescent="0.3">
      <c r="A34" s="223" t="s">
        <v>284</v>
      </c>
      <c r="B34" s="234">
        <v>0</v>
      </c>
      <c r="C34" s="234">
        <v>0</v>
      </c>
      <c r="D34" s="234">
        <v>6</v>
      </c>
      <c r="E34" s="234">
        <v>168.2</v>
      </c>
      <c r="F34" s="296">
        <v>2240.6999999999998</v>
      </c>
      <c r="G34" s="231">
        <v>546.96100000000001</v>
      </c>
      <c r="H34" s="231">
        <v>1688.26</v>
      </c>
      <c r="I34" s="231">
        <v>144.6</v>
      </c>
      <c r="J34" s="231">
        <v>59.8</v>
      </c>
      <c r="K34" s="231">
        <v>219</v>
      </c>
      <c r="L34" s="231">
        <v>229</v>
      </c>
      <c r="M34" s="231"/>
      <c r="N34" s="231"/>
      <c r="O34" s="231"/>
      <c r="P34" s="231"/>
    </row>
    <row r="35" spans="1:16" x14ac:dyDescent="0.3">
      <c r="A35" s="223" t="s">
        <v>286</v>
      </c>
      <c r="B35" s="562">
        <v>41</v>
      </c>
      <c r="C35" s="562">
        <v>-7</v>
      </c>
      <c r="D35" s="562">
        <v>144.48400000000001</v>
      </c>
      <c r="E35" s="562">
        <v>518.52795922999996</v>
      </c>
      <c r="F35" s="296">
        <v>866.88672323000026</v>
      </c>
      <c r="G35" s="563">
        <v>1500.6205</v>
      </c>
      <c r="H35" s="563">
        <v>1553.8990000000001</v>
      </c>
      <c r="I35" s="563">
        <v>1552.36</v>
      </c>
      <c r="J35" s="563">
        <v>1782.1074532598041</v>
      </c>
      <c r="K35" s="563">
        <v>2044.1387220417919</v>
      </c>
      <c r="L35" s="563">
        <v>451.69676003296934</v>
      </c>
      <c r="M35" s="563"/>
      <c r="N35" s="563"/>
      <c r="O35" s="563"/>
      <c r="P35" s="563"/>
    </row>
    <row r="36" spans="1:16" x14ac:dyDescent="0.3">
      <c r="A36" s="561" t="s">
        <v>15</v>
      </c>
      <c r="B36" s="564"/>
      <c r="C36" s="564"/>
      <c r="D36" s="564"/>
      <c r="E36" s="564"/>
      <c r="F36" s="296">
        <v>1597.9367232300001</v>
      </c>
      <c r="G36" s="564">
        <v>2704.0205000000001</v>
      </c>
      <c r="H36" s="564">
        <v>3009.889909090909</v>
      </c>
      <c r="I36" s="564">
        <v>3021.56</v>
      </c>
      <c r="J36" s="564">
        <v>2964.0862032598038</v>
      </c>
      <c r="K36" s="564">
        <v>2544.0557599999997</v>
      </c>
      <c r="L36" s="564">
        <v>2479.732643932969</v>
      </c>
      <c r="M36" s="564">
        <v>1834.5739999999998</v>
      </c>
      <c r="N36" s="564">
        <v>2644.5368147334511</v>
      </c>
      <c r="O36" s="564">
        <v>1930.2779749293006</v>
      </c>
      <c r="P36" s="564">
        <v>2242</v>
      </c>
    </row>
    <row r="37" spans="1:16" x14ac:dyDescent="0.3">
      <c r="A37" s="235" t="s">
        <v>491</v>
      </c>
      <c r="B37" s="380">
        <f>B8+B19+B23+B28+B32</f>
        <v>0</v>
      </c>
      <c r="C37" s="380">
        <f>C8+C19+C23+C28+C32</f>
        <v>-0.40000000000009095</v>
      </c>
      <c r="D37" s="380">
        <f>D8+D19+D23+D28+D32</f>
        <v>0.10000000000047748</v>
      </c>
      <c r="E37" s="380">
        <f>E8+E19+E23+E28+E32</f>
        <v>0</v>
      </c>
      <c r="F37" s="380">
        <f>F8+F19+F23+F28+F32</f>
        <v>0</v>
      </c>
      <c r="G37" s="380">
        <f t="shared" ref="G37:P37" si="0">G8+G19+G23+G28+G32</f>
        <v>0</v>
      </c>
      <c r="H37" s="380">
        <f t="shared" si="0"/>
        <v>0</v>
      </c>
      <c r="I37" s="380">
        <f t="shared" si="0"/>
        <v>0</v>
      </c>
      <c r="J37" s="380">
        <f t="shared" si="0"/>
        <v>0</v>
      </c>
      <c r="K37" s="380">
        <f t="shared" si="0"/>
        <v>0</v>
      </c>
      <c r="L37" s="380">
        <f t="shared" si="0"/>
        <v>0</v>
      </c>
      <c r="M37" s="380">
        <f t="shared" si="0"/>
        <v>0</v>
      </c>
      <c r="N37" s="380">
        <f t="shared" si="0"/>
        <v>-4.5474735088646412E-13</v>
      </c>
      <c r="O37" s="380">
        <f t="shared" si="0"/>
        <v>0</v>
      </c>
      <c r="P37" s="380">
        <f t="shared" si="0"/>
        <v>-3.694822225952521E-13</v>
      </c>
    </row>
    <row r="38" spans="1:16" x14ac:dyDescent="0.3">
      <c r="A38" s="236" t="s">
        <v>287</v>
      </c>
      <c r="B38" s="237"/>
      <c r="C38" s="238"/>
      <c r="D38" s="238"/>
      <c r="E38" s="238"/>
      <c r="F38" s="297"/>
      <c r="G38" s="238"/>
      <c r="H38" s="238"/>
      <c r="I38" s="238"/>
      <c r="J38" s="238"/>
      <c r="K38" s="238"/>
      <c r="L38" s="239"/>
      <c r="M38" s="239"/>
      <c r="N38" s="239"/>
      <c r="O38" s="239"/>
      <c r="P38" s="721"/>
    </row>
    <row r="39" spans="1:16" x14ac:dyDescent="0.3">
      <c r="A39" s="240" t="s">
        <v>288</v>
      </c>
      <c r="B39" s="241"/>
      <c r="C39" s="242"/>
      <c r="D39" s="242"/>
      <c r="E39" s="242"/>
      <c r="F39" s="298"/>
      <c r="G39" s="242"/>
      <c r="H39" s="242"/>
      <c r="I39" s="242"/>
      <c r="J39" s="242"/>
      <c r="K39" s="243"/>
      <c r="L39" s="243"/>
      <c r="M39" s="243"/>
      <c r="N39" s="243"/>
      <c r="O39" s="243"/>
      <c r="P39" s="243"/>
    </row>
    <row r="40" spans="1:16" x14ac:dyDescent="0.3">
      <c r="A40" s="244" t="s">
        <v>289</v>
      </c>
      <c r="B40" s="245"/>
      <c r="C40" s="242"/>
      <c r="D40" s="242"/>
      <c r="E40" s="242"/>
      <c r="F40" s="298"/>
      <c r="G40" s="242"/>
      <c r="H40" s="242"/>
      <c r="I40" s="242"/>
      <c r="J40" s="242"/>
      <c r="K40" s="242"/>
      <c r="L40" s="242"/>
      <c r="M40" s="242"/>
      <c r="N40" s="242"/>
      <c r="O40" s="242"/>
      <c r="P40" s="242"/>
    </row>
    <row r="41" spans="1:16" x14ac:dyDescent="0.3">
      <c r="A41" t="s">
        <v>413</v>
      </c>
      <c r="F41" s="299"/>
    </row>
    <row r="42" spans="1:16" x14ac:dyDescent="0.3">
      <c r="A42" t="s">
        <v>411</v>
      </c>
      <c r="B42" s="307">
        <f>'oferta-demanda'!F14/('balanza de pagos'!B10+'balanza de pagos'!B13)</f>
        <v>0</v>
      </c>
      <c r="C42" s="291">
        <f>'oferta-demanda'!G14/('balanza de pagos'!C10+'balanza de pagos'!C13)</f>
        <v>2.3154226491536449</v>
      </c>
      <c r="D42" s="291">
        <f>'oferta-demanda'!H14/('balanza de pagos'!D10+'balanza de pagos'!D13)</f>
        <v>2.2740502662635498</v>
      </c>
      <c r="E42" s="291">
        <f>'oferta-demanda'!I14/('balanza de pagos'!E10+'balanza de pagos'!E13)</f>
        <v>2.4221453014077992</v>
      </c>
      <c r="F42" s="300">
        <f>'oferta-demanda'!J14/('balanza de pagos'!F10+'balanza de pagos'!F13)</f>
        <v>2.2942733829649238</v>
      </c>
      <c r="G42" s="291">
        <f>'oferta-demanda'!K14/('balanza de pagos'!G10+'balanza de pagos'!G13)</f>
        <v>2.006559172732763</v>
      </c>
      <c r="H42" s="291">
        <f>'oferta-demanda'!L14/('balanza de pagos'!H10+'balanza de pagos'!H13)</f>
        <v>1.9839799536273746</v>
      </c>
      <c r="I42" s="291">
        <f>'oferta-demanda'!M14/('balanza de pagos'!I10+'balanza de pagos'!I13)</f>
        <v>1.9531652646893061</v>
      </c>
      <c r="J42" s="291">
        <f>'oferta-demanda'!N14/('balanza de pagos'!J10+'balanza de pagos'!J13)</f>
        <v>2.2936491259736749</v>
      </c>
      <c r="K42" s="291">
        <f>'oferta-demanda'!O14/('balanza de pagos'!K10+'balanza de pagos'!K13)</f>
        <v>2.4206901906800877</v>
      </c>
      <c r="L42" s="291">
        <f>'oferta-demanda'!P14/('balanza de pagos'!L10+'balanza de pagos'!L13)</f>
        <v>2.3448934324015154</v>
      </c>
      <c r="M42" s="291">
        <f>'oferta-demanda'!Q14/('balanza de pagos'!M10+'balanza de pagos'!M13)</f>
        <v>2.5172863703526662</v>
      </c>
      <c r="N42" s="291">
        <f>'oferta-demanda'!R14/('balanza de pagos'!N10+'balanza de pagos'!N13)</f>
        <v>2.4864639410495721</v>
      </c>
      <c r="O42" s="291">
        <f>'oferta-demanda'!S14/('balanza de pagos'!O10+'balanza de pagos'!O13)</f>
        <v>2.2872815123811745</v>
      </c>
      <c r="P42" s="291">
        <f>'oferta-demanda'!T14/('balanza de pagos'!P10+'balanza de pagos'!P13)</f>
        <v>1.9524462760499248</v>
      </c>
    </row>
    <row r="43" spans="1:16" x14ac:dyDescent="0.3">
      <c r="A43" t="s">
        <v>412</v>
      </c>
      <c r="B43" s="307">
        <f>-'oferta-demanda'!F8/('balanza de pagos'!B11+'balanza de pagos'!B14)</f>
        <v>0</v>
      </c>
      <c r="C43" s="291">
        <f>-'oferta-demanda'!G8/('balanza de pagos'!C11+'balanza de pagos'!C14)</f>
        <v>2.3026500713540101</v>
      </c>
      <c r="D43" s="291">
        <f>-'oferta-demanda'!H8/('balanza de pagos'!D11+'balanza de pagos'!D14)</f>
        <v>2.2378079366710506</v>
      </c>
      <c r="E43" s="291">
        <f>-'oferta-demanda'!I8/('balanza de pagos'!E11+'balanza de pagos'!E14)</f>
        <v>2.2713513825604008</v>
      </c>
      <c r="F43" s="300">
        <f>-'oferta-demanda'!J8/('balanza de pagos'!F11+'balanza de pagos'!F14)</f>
        <v>2.2638549084365387</v>
      </c>
      <c r="G43" s="291">
        <f>-'oferta-demanda'!K8/('balanza de pagos'!G11+'balanza de pagos'!G14)</f>
        <v>2.1081617995085771</v>
      </c>
      <c r="H43" s="291">
        <f>-'oferta-demanda'!L8/('balanza de pagos'!H11+'balanza de pagos'!H14)</f>
        <v>2.0353771890167351</v>
      </c>
      <c r="I43" s="291">
        <f>-'oferta-demanda'!M8/('balanza de pagos'!I11+'balanza de pagos'!I14)</f>
        <v>2.0958923295616736</v>
      </c>
      <c r="J43" s="291">
        <f>-'oferta-demanda'!N8/('balanza de pagos'!J11+'balanza de pagos'!J14)</f>
        <v>2.1882059845855606</v>
      </c>
      <c r="K43" s="291">
        <f>-'oferta-demanda'!O8/('balanza de pagos'!K11+'balanza de pagos'!K14)</f>
        <v>2.1917181582556151</v>
      </c>
      <c r="L43" s="291">
        <f>-'oferta-demanda'!P8/('balanza de pagos'!L11+'balanza de pagos'!L14)</f>
        <v>2.1075521042466456</v>
      </c>
      <c r="M43" s="291">
        <f>-'oferta-demanda'!Q8/('balanza de pagos'!M11+'balanza de pagos'!M14)</f>
        <v>2.1843376292390859</v>
      </c>
      <c r="N43" s="291">
        <f>-'oferta-demanda'!R8/('balanza de pagos'!N11+'balanza de pagos'!N14)</f>
        <v>2.1592631671860398</v>
      </c>
      <c r="O43" s="291">
        <f>-'oferta-demanda'!S8/('balanza de pagos'!O11+'balanza de pagos'!O14)</f>
        <v>2.0427561554310829</v>
      </c>
      <c r="P43" s="291">
        <f>-'oferta-demanda'!T8/('balanza de pagos'!P11+'balanza de pagos'!P14)</f>
        <v>1.9253499506437985</v>
      </c>
    </row>
    <row r="44" spans="1:16" x14ac:dyDescent="0.3">
      <c r="A44" t="s">
        <v>415</v>
      </c>
      <c r="B44" s="322">
        <f>((B42+B43)/2)</f>
        <v>0</v>
      </c>
      <c r="C44" s="322">
        <f t="shared" ref="C44:L44" si="1">((C42+C43)/2)</f>
        <v>2.3090363602538275</v>
      </c>
      <c r="D44" s="322">
        <f t="shared" si="1"/>
        <v>2.2559291014673004</v>
      </c>
      <c r="E44" s="322">
        <f t="shared" si="1"/>
        <v>2.3467483419841</v>
      </c>
      <c r="F44" s="300">
        <f t="shared" si="1"/>
        <v>2.2790641457007315</v>
      </c>
      <c r="G44" s="322">
        <f t="shared" si="1"/>
        <v>2.05736048612067</v>
      </c>
      <c r="H44" s="322">
        <f t="shared" si="1"/>
        <v>2.0096785713220546</v>
      </c>
      <c r="I44" s="322">
        <f t="shared" si="1"/>
        <v>2.0245287971254897</v>
      </c>
      <c r="J44" s="322">
        <f t="shared" si="1"/>
        <v>2.240927555279618</v>
      </c>
      <c r="K44" s="322">
        <f t="shared" si="1"/>
        <v>2.3062041744678514</v>
      </c>
      <c r="L44" s="322">
        <f t="shared" si="1"/>
        <v>2.2262227683240807</v>
      </c>
      <c r="M44" s="322">
        <f>((M42+M43)/2)</f>
        <v>2.3508119997958761</v>
      </c>
      <c r="N44" s="322">
        <f>((N42+N43)/2)</f>
        <v>2.3228635541178058</v>
      </c>
      <c r="O44" s="322">
        <f>((O42+O43)/2)</f>
        <v>2.1650188339061289</v>
      </c>
      <c r="P44" s="322">
        <f>((P42+P43)/2)</f>
        <v>1.9388981133468617</v>
      </c>
    </row>
    <row r="45" spans="1:16" x14ac:dyDescent="0.3">
      <c r="A45" t="s">
        <v>414</v>
      </c>
      <c r="B45" s="210"/>
      <c r="C45" s="210">
        <f>(C21+C23)*'opr. gob. gen. y sector no fin.'!B38</f>
        <v>1980.6479193304233</v>
      </c>
      <c r="D45" s="210">
        <f>(D21+D23)*'opr. gob. gen. y sector no fin.'!C38</f>
        <v>3542.2484492625908</v>
      </c>
      <c r="E45" s="210">
        <f>(E21+E23)*'opr. gob. gen. y sector no fin.'!D38</f>
        <v>843.79503585842076</v>
      </c>
      <c r="F45" s="210">
        <f>(F21+F23)*'opr. gob. gen. y sector no fin.'!E38</f>
        <v>2738.5637926601362</v>
      </c>
      <c r="G45" s="210">
        <f>(G21+G23)*'opr. gob. gen. y sector no fin.'!F38</f>
        <v>2867.1897049771487</v>
      </c>
      <c r="H45" s="210">
        <f>(H21+H23)*'opr. gob. gen. y sector no fin.'!G38</f>
        <v>579.78336184510022</v>
      </c>
      <c r="I45" s="210">
        <f>(I21+I23)*'opr. gob. gen. y sector no fin.'!H38</f>
        <v>29.387378564393753</v>
      </c>
      <c r="J45" s="210">
        <f>(J21+J23)*'opr. gob. gen. y sector no fin.'!I38</f>
        <v>104.79474430345962</v>
      </c>
      <c r="K45" s="210">
        <f>(K21+K23)*'opr. gob. gen. y sector no fin.'!J38</f>
        <v>-45.27546734611682</v>
      </c>
      <c r="L45" s="210">
        <f>(L21+L23)*'opr. gob. gen. y sector no fin.'!K38</f>
        <v>112.2114160835898</v>
      </c>
      <c r="M45" s="210">
        <f>(M21+M23)*'opr. gob. gen. y sector no fin.'!L38</f>
        <v>160.66754822550914</v>
      </c>
      <c r="N45" s="210">
        <f>(N21+N23)*'opr. gob. gen. y sector no fin.'!M38</f>
        <v>458.30577902329776</v>
      </c>
      <c r="O45" s="210">
        <f>(O21+O23)*'opr. gob. gen. y sector no fin.'!N38</f>
        <v>300.6874549252716</v>
      </c>
      <c r="P45" s="210">
        <f>(P21+P23)*'opr. gob. gen. y sector no fin.'!O38</f>
        <v>461.17927487700064</v>
      </c>
    </row>
    <row r="46" spans="1:16" x14ac:dyDescent="0.3">
      <c r="F46" t="s">
        <v>281</v>
      </c>
      <c r="G46" t="s">
        <v>16</v>
      </c>
    </row>
    <row r="47" spans="1:16" x14ac:dyDescent="0.3">
      <c r="E47" s="382" t="s">
        <v>524</v>
      </c>
      <c r="F47" s="433">
        <f>(F10+F13)*F44</f>
        <v>12506.854043561571</v>
      </c>
      <c r="G47" s="414">
        <f>+'SAM macro'!U23/1000000</f>
        <v>49720.004992000002</v>
      </c>
    </row>
    <row r="48" spans="1:16" x14ac:dyDescent="0.3">
      <c r="E48" s="382" t="s">
        <v>582</v>
      </c>
      <c r="F48" s="433">
        <f>(F11+F14)*F44</f>
        <v>-16028.785415065717</v>
      </c>
      <c r="G48" s="414">
        <f>+'SAM macro'!P25/1000000</f>
        <v>0</v>
      </c>
    </row>
    <row r="49" spans="1:16" x14ac:dyDescent="0.3">
      <c r="F49" s="209">
        <f>+F48+F47</f>
        <v>-3521.9313715041462</v>
      </c>
      <c r="G49" s="209"/>
    </row>
    <row r="50" spans="1:16" x14ac:dyDescent="0.3">
      <c r="F50" s="209">
        <f>+F30*F44</f>
        <v>-6782.4948976053765</v>
      </c>
      <c r="G50" s="209"/>
    </row>
    <row r="51" spans="1:16" x14ac:dyDescent="0.3">
      <c r="A51" s="703" t="s">
        <v>712</v>
      </c>
      <c r="B51" s="703">
        <v>3</v>
      </c>
      <c r="C51" s="703">
        <v>3</v>
      </c>
      <c r="D51" s="703">
        <v>3</v>
      </c>
      <c r="E51" s="703">
        <v>3</v>
      </c>
      <c r="F51" s="703">
        <v>3</v>
      </c>
      <c r="G51" s="703">
        <v>3</v>
      </c>
      <c r="H51" s="703">
        <v>3</v>
      </c>
      <c r="I51" s="703">
        <v>3</v>
      </c>
      <c r="J51" s="703">
        <v>3</v>
      </c>
      <c r="K51" s="703">
        <v>3</v>
      </c>
      <c r="L51" s="703">
        <v>3</v>
      </c>
      <c r="M51" s="703">
        <v>3</v>
      </c>
      <c r="N51" s="703">
        <v>3.5</v>
      </c>
      <c r="O51" s="718">
        <f>+[4]C_1!$D$12</f>
        <v>3.4787451832311205</v>
      </c>
      <c r="P51" s="718">
        <f>+[4]C_1!$I$12</f>
        <v>3.4142439080243427</v>
      </c>
    </row>
  </sheetData>
  <phoneticPr fontId="0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97C82-3D1B-47BF-B48E-25E1E2B77105}">
  <sheetPr>
    <pageSetUpPr fitToPage="1"/>
  </sheetPr>
  <dimension ref="A3:CC86"/>
  <sheetViews>
    <sheetView topLeftCell="A8" zoomScale="50" workbookViewId="0">
      <selection activeCell="C11" sqref="C11:C16"/>
    </sheetView>
  </sheetViews>
  <sheetFormatPr defaultColWidth="12" defaultRowHeight="20.5" x14ac:dyDescent="0.3"/>
  <cols>
    <col min="1" max="1" width="44.44140625" style="472" customWidth="1"/>
    <col min="2" max="2" width="7.88671875" style="472" customWidth="1"/>
    <col min="3" max="3" width="8.44140625" style="472" customWidth="1"/>
    <col min="4" max="4" width="18.109375" style="472" customWidth="1"/>
    <col min="5" max="5" width="21.6640625" style="472" customWidth="1"/>
    <col min="6" max="6" width="27" style="472" customWidth="1"/>
    <col min="7" max="7" width="25.88671875" style="472" customWidth="1"/>
    <col min="8" max="8" width="25.33203125" style="472" customWidth="1"/>
    <col min="9" max="9" width="23.33203125" style="472" customWidth="1"/>
    <col min="10" max="10" width="26" style="472" customWidth="1"/>
    <col min="11" max="11" width="22.33203125" style="472" customWidth="1"/>
    <col min="12" max="12" width="24.44140625" style="472" customWidth="1"/>
    <col min="13" max="13" width="24.33203125" style="472" customWidth="1"/>
    <col min="14" max="14" width="23.6640625" style="472" customWidth="1"/>
    <col min="15" max="15" width="22.109375" style="472" customWidth="1"/>
    <col min="16" max="16" width="24.44140625" style="472" customWidth="1"/>
    <col min="17" max="17" width="22.88671875" style="472" customWidth="1"/>
    <col min="18" max="18" width="27.109375" style="472" customWidth="1"/>
    <col min="19" max="19" width="25" style="472" customWidth="1"/>
    <col min="20" max="20" width="28.44140625" style="472" customWidth="1"/>
    <col min="21" max="21" width="27" style="472" customWidth="1"/>
    <col min="22" max="22" width="25.6640625" style="472" customWidth="1"/>
    <col min="23" max="23" width="26.44140625" style="472" customWidth="1"/>
    <col min="24" max="24" width="27.44140625" style="476" customWidth="1"/>
    <col min="25" max="25" width="39.88671875" style="472" customWidth="1"/>
    <col min="26" max="26" width="22.88671875" style="472" bestFit="1" customWidth="1"/>
    <col min="27" max="16384" width="12" style="472"/>
  </cols>
  <sheetData>
    <row r="3" spans="2:81" ht="47.25" customHeight="1" x14ac:dyDescent="0.3">
      <c r="B3" s="521"/>
      <c r="C3" s="521"/>
      <c r="D3" s="521"/>
      <c r="E3" s="521"/>
      <c r="F3" s="788" t="s">
        <v>930</v>
      </c>
      <c r="G3" s="788"/>
      <c r="H3" s="788"/>
      <c r="I3" s="788"/>
      <c r="J3" s="788"/>
      <c r="K3" s="788"/>
      <c r="L3" s="788"/>
      <c r="M3" s="521"/>
      <c r="N3" s="521"/>
      <c r="O3" s="521"/>
      <c r="P3" s="521"/>
      <c r="Q3" s="521"/>
      <c r="R3" s="521"/>
      <c r="S3" s="521"/>
      <c r="T3" s="521"/>
      <c r="U3" s="521"/>
      <c r="V3" s="521"/>
      <c r="W3" s="521"/>
    </row>
    <row r="4" spans="2:81" x14ac:dyDescent="0.3">
      <c r="B4" s="521"/>
      <c r="C4" s="521"/>
      <c r="D4" s="521"/>
      <c r="E4" s="521"/>
      <c r="F4" s="788" t="s">
        <v>725</v>
      </c>
      <c r="G4" s="788"/>
      <c r="H4" s="788"/>
      <c r="I4" s="788"/>
      <c r="J4" s="788"/>
      <c r="K4" s="788"/>
      <c r="L4" s="788"/>
      <c r="M4" s="521"/>
      <c r="N4" s="521"/>
      <c r="O4" s="521"/>
      <c r="P4" s="521"/>
      <c r="Q4" s="521"/>
      <c r="R4" s="521"/>
      <c r="S4" s="521"/>
      <c r="T4" s="521"/>
      <c r="U4" s="521"/>
      <c r="V4" s="521"/>
      <c r="W4" s="521"/>
    </row>
    <row r="5" spans="2:81" x14ac:dyDescent="0.3">
      <c r="B5" s="521"/>
      <c r="C5" s="521"/>
      <c r="D5" s="521"/>
      <c r="E5" s="521"/>
      <c r="F5" s="522"/>
      <c r="G5" s="522"/>
      <c r="H5" s="522"/>
      <c r="I5" s="522"/>
      <c r="J5" s="522"/>
      <c r="K5" s="522"/>
      <c r="L5" s="522"/>
      <c r="M5" s="522"/>
      <c r="N5" s="522"/>
      <c r="O5" s="522"/>
      <c r="P5" s="522"/>
      <c r="Q5" s="522"/>
      <c r="R5" s="522"/>
      <c r="S5" s="522"/>
      <c r="T5" s="522"/>
      <c r="U5" s="522"/>
      <c r="V5" s="522"/>
      <c r="W5" s="522"/>
    </row>
    <row r="6" spans="2:81" ht="31" x14ac:dyDescent="0.3">
      <c r="B6" s="763"/>
      <c r="C6" s="763"/>
      <c r="D6" s="763"/>
      <c r="E6" s="763"/>
      <c r="F6" s="795" t="s">
        <v>575</v>
      </c>
      <c r="G6" s="796"/>
      <c r="H6" s="796"/>
      <c r="I6" s="796"/>
      <c r="J6" s="796"/>
      <c r="K6" s="796"/>
      <c r="L6" s="796"/>
      <c r="M6" s="796"/>
      <c r="N6" s="796"/>
      <c r="O6" s="796"/>
      <c r="P6" s="796"/>
      <c r="Q6" s="796"/>
      <c r="R6" s="796"/>
      <c r="S6" s="796"/>
      <c r="T6" s="796"/>
      <c r="U6" s="796"/>
      <c r="V6" s="796"/>
      <c r="W6" s="797"/>
    </row>
    <row r="7" spans="2:81" ht="30" customHeight="1" x14ac:dyDescent="0.3">
      <c r="B7" s="763"/>
      <c r="C7" s="763"/>
      <c r="D7" s="763"/>
      <c r="E7" s="763"/>
      <c r="F7" s="789" t="s">
        <v>578</v>
      </c>
      <c r="G7" s="785" t="s">
        <v>571</v>
      </c>
      <c r="H7" s="786"/>
      <c r="I7" s="786"/>
      <c r="J7" s="786"/>
      <c r="K7" s="786"/>
      <c r="L7" s="787"/>
      <c r="M7" s="789" t="s">
        <v>727</v>
      </c>
      <c r="N7" s="789" t="s">
        <v>732</v>
      </c>
      <c r="O7" s="761"/>
      <c r="P7" s="789" t="s">
        <v>581</v>
      </c>
      <c r="Q7" s="789" t="s">
        <v>285</v>
      </c>
      <c r="R7" s="789" t="s">
        <v>17</v>
      </c>
      <c r="S7" s="789" t="s">
        <v>559</v>
      </c>
      <c r="T7" s="789" t="s">
        <v>279</v>
      </c>
      <c r="U7" s="789" t="s">
        <v>734</v>
      </c>
      <c r="V7" s="789" t="s">
        <v>771</v>
      </c>
      <c r="W7" s="789" t="s">
        <v>576</v>
      </c>
    </row>
    <row r="8" spans="2:81" ht="54.75" customHeight="1" x14ac:dyDescent="0.3">
      <c r="B8" s="763"/>
      <c r="C8" s="763"/>
      <c r="D8" s="763"/>
      <c r="E8" s="763"/>
      <c r="F8" s="790"/>
      <c r="G8" s="765" t="s">
        <v>572</v>
      </c>
      <c r="H8" s="765" t="s">
        <v>573</v>
      </c>
      <c r="I8" s="785" t="s">
        <v>469</v>
      </c>
      <c r="J8" s="786"/>
      <c r="K8" s="786"/>
      <c r="L8" s="787"/>
      <c r="M8" s="798"/>
      <c r="N8" s="798"/>
      <c r="O8" s="760" t="s">
        <v>733</v>
      </c>
      <c r="P8" s="790"/>
      <c r="Q8" s="790"/>
      <c r="R8" s="790"/>
      <c r="S8" s="790"/>
      <c r="T8" s="790"/>
      <c r="U8" s="790"/>
      <c r="V8" s="790"/>
      <c r="W8" s="790"/>
    </row>
    <row r="9" spans="2:81" ht="54.75" customHeight="1" x14ac:dyDescent="0.3">
      <c r="B9" s="763"/>
      <c r="C9" s="763"/>
      <c r="D9" s="763"/>
      <c r="E9" s="763"/>
      <c r="F9" s="762"/>
      <c r="G9" s="765"/>
      <c r="H9" s="765"/>
      <c r="I9" s="765" t="s">
        <v>561</v>
      </c>
      <c r="J9" s="765" t="s">
        <v>560</v>
      </c>
      <c r="K9" s="765" t="s">
        <v>527</v>
      </c>
      <c r="L9" s="764" t="s">
        <v>575</v>
      </c>
      <c r="M9" s="790"/>
      <c r="N9" s="790"/>
      <c r="O9" s="762"/>
      <c r="P9" s="762"/>
      <c r="Q9" s="762"/>
      <c r="R9" s="762"/>
      <c r="S9" s="762"/>
      <c r="T9" s="762"/>
      <c r="U9" s="762"/>
      <c r="V9" s="762"/>
      <c r="W9" s="762"/>
    </row>
    <row r="10" spans="2:81" ht="39.75" customHeight="1" x14ac:dyDescent="0.3">
      <c r="B10" s="791" t="s">
        <v>577</v>
      </c>
      <c r="C10" s="785" t="s">
        <v>578</v>
      </c>
      <c r="D10" s="786"/>
      <c r="E10" s="787"/>
      <c r="F10" s="523"/>
      <c r="G10" s="665"/>
      <c r="H10" s="523"/>
      <c r="I10" s="523"/>
      <c r="J10" s="523"/>
      <c r="K10" s="523"/>
      <c r="L10" s="523"/>
      <c r="M10" s="523"/>
      <c r="N10" s="523"/>
      <c r="O10" s="523"/>
      <c r="P10" s="523"/>
      <c r="Q10" s="523"/>
      <c r="R10" s="673">
        <f>+SUM(MICROSAM!AE13:AS18)+SUM(MICROSAM!AE19:AS19)</f>
        <v>213687833856</v>
      </c>
      <c r="S10" s="524"/>
      <c r="T10" s="524"/>
      <c r="U10" s="673">
        <f>'balanza de pagos'!P16*[7]C_1!$I$12*1000000+'balanza de pagos'!P17*'balanza de pagos'!$P$51*1000000+V25</f>
        <v>-11194590514.358139</v>
      </c>
      <c r="V10" s="526"/>
      <c r="W10" s="524">
        <f>+SUM(F10:V10)</f>
        <v>202493243341.64185</v>
      </c>
      <c r="X10" s="524">
        <v>202493243341.64191</v>
      </c>
      <c r="Y10" s="473">
        <f>+X10-W10</f>
        <v>0</v>
      </c>
      <c r="Z10" s="526"/>
      <c r="AA10" s="526"/>
      <c r="AB10" s="526"/>
      <c r="AC10" s="526"/>
      <c r="AD10" s="526"/>
      <c r="AE10" s="526"/>
      <c r="AF10" s="526"/>
      <c r="AG10" s="526"/>
      <c r="AH10" s="526"/>
      <c r="AI10" s="526"/>
      <c r="AJ10" s="526"/>
      <c r="AK10" s="526"/>
      <c r="AL10" s="716"/>
    </row>
    <row r="11" spans="2:81" ht="42" customHeight="1" x14ac:dyDescent="0.3">
      <c r="B11" s="791"/>
      <c r="C11" s="792" t="s">
        <v>571</v>
      </c>
      <c r="D11" s="785" t="s">
        <v>572</v>
      </c>
      <c r="E11" s="787"/>
      <c r="F11" s="672">
        <f>+SUM(MICROSAM!H20:M26)</f>
        <v>93682402152.970047</v>
      </c>
      <c r="G11" s="673">
        <f>+SUM(MICROSAM!O20:U26)</f>
        <v>4436447072.9999971</v>
      </c>
      <c r="H11" s="677">
        <f>+SUM(MICROSAM!V20:V26)</f>
        <v>105337230753.82661</v>
      </c>
      <c r="I11" s="759"/>
      <c r="J11" s="524"/>
      <c r="K11" s="524"/>
      <c r="L11" s="673">
        <f>([7]C_45!$G$13-[7]C_45!$G$16-[7]C_45!$G$18)*1000000</f>
        <v>7088010961.6300001</v>
      </c>
      <c r="M11" s="673">
        <f>+SUM(MICROSAM!X20:Z26)</f>
        <v>10766646727.000002</v>
      </c>
      <c r="N11" s="525"/>
      <c r="O11" s="525"/>
      <c r="P11" s="523"/>
      <c r="Q11" s="523"/>
      <c r="R11" s="523"/>
      <c r="S11" s="523"/>
      <c r="T11" s="523"/>
      <c r="U11" s="673">
        <f>Parámetros!$B$4*'balanza de pagos'!P18*[7]C_1!$I$12*1000000</f>
        <v>2998069349.5686321</v>
      </c>
      <c r="V11" s="526"/>
      <c r="W11" s="524">
        <f t="shared" ref="W11:W26" si="0">+SUM(F11:V11)</f>
        <v>224308807017.9953</v>
      </c>
      <c r="X11" s="526">
        <v>224308807017.9953</v>
      </c>
      <c r="Y11" s="473">
        <f>+X11-W11</f>
        <v>0</v>
      </c>
    </row>
    <row r="12" spans="2:81" ht="41.25" customHeight="1" x14ac:dyDescent="0.3">
      <c r="B12" s="791"/>
      <c r="C12" s="793"/>
      <c r="D12" s="785" t="s">
        <v>573</v>
      </c>
      <c r="E12" s="787"/>
      <c r="F12" s="673">
        <f>+MICROSAM!N27</f>
        <v>108810841188.67184</v>
      </c>
      <c r="G12" s="666"/>
      <c r="H12" s="526"/>
      <c r="I12" s="526"/>
      <c r="J12" s="526"/>
      <c r="K12" s="526"/>
      <c r="L12" s="675">
        <f>+([7]C_31!$G$29-[7]C_31!$G$38)*1000000</f>
        <v>2632701639.0647283</v>
      </c>
      <c r="M12" s="525"/>
      <c r="N12" s="525"/>
      <c r="O12" s="525"/>
      <c r="P12" s="525"/>
      <c r="Q12" s="525"/>
      <c r="R12" s="525"/>
      <c r="S12" s="525"/>
      <c r="T12" s="525"/>
      <c r="U12" s="675">
        <f>(1-Parámetros!$B$4-Parámetros!$B$5)*'balanza de pagos'!P18*[7]C_1!$I$12*1000000</f>
        <v>499678224.92810553</v>
      </c>
      <c r="V12" s="526"/>
      <c r="W12" s="524">
        <f t="shared" si="0"/>
        <v>111943221052.66467</v>
      </c>
      <c r="X12" s="526">
        <v>111943228741.24649</v>
      </c>
      <c r="Y12" s="473">
        <f t="shared" ref="Y12:Y25" si="1">+X12-W12</f>
        <v>7688.5818176269531</v>
      </c>
      <c r="Z12" s="479"/>
      <c r="AA12" s="479"/>
      <c r="AB12" s="479"/>
      <c r="AC12" s="479"/>
      <c r="AD12" s="479"/>
      <c r="AE12" s="479"/>
      <c r="AF12" s="479"/>
      <c r="AG12" s="479"/>
      <c r="AH12" s="479"/>
      <c r="AI12" s="479"/>
      <c r="AJ12" s="479"/>
      <c r="AK12" s="479"/>
      <c r="AL12" s="479"/>
      <c r="AM12" s="479"/>
      <c r="AN12" s="479"/>
      <c r="AO12" s="479"/>
      <c r="AP12" s="479"/>
      <c r="AQ12" s="479"/>
      <c r="AR12" s="479"/>
      <c r="AS12" s="479"/>
      <c r="AT12" s="479"/>
      <c r="AU12" s="479"/>
      <c r="AV12" s="479"/>
      <c r="AW12" s="479"/>
      <c r="AX12" s="479"/>
      <c r="AY12" s="479"/>
      <c r="AZ12" s="479"/>
      <c r="BA12" s="479"/>
      <c r="BB12" s="479"/>
      <c r="BC12" s="479"/>
      <c r="BD12" s="479"/>
      <c r="BE12" s="479"/>
      <c r="BF12" s="479"/>
      <c r="BG12" s="479"/>
      <c r="BH12" s="479"/>
      <c r="BI12" s="479"/>
      <c r="BJ12" s="479"/>
      <c r="BK12" s="479"/>
      <c r="BL12" s="479"/>
      <c r="BM12" s="479"/>
      <c r="BN12" s="479"/>
      <c r="BO12" s="479"/>
      <c r="BP12" s="479"/>
      <c r="BQ12" s="479"/>
      <c r="BR12" s="479"/>
      <c r="BS12" s="479"/>
      <c r="BT12" s="479"/>
      <c r="BU12" s="479"/>
      <c r="BV12" s="479"/>
      <c r="BW12" s="479"/>
      <c r="BX12" s="479"/>
      <c r="BY12" s="479"/>
      <c r="BZ12" s="479"/>
      <c r="CA12" s="479"/>
      <c r="CB12" s="479"/>
      <c r="CC12" s="479"/>
    </row>
    <row r="13" spans="2:81" ht="57.75" customHeight="1" x14ac:dyDescent="0.3">
      <c r="B13" s="791"/>
      <c r="C13" s="793"/>
      <c r="D13" s="789" t="s">
        <v>465</v>
      </c>
      <c r="E13" s="765" t="s">
        <v>561</v>
      </c>
      <c r="F13" s="527"/>
      <c r="G13" s="675">
        <f>[7]C_41!$G$10*1000000</f>
        <v>9026111591.2199993</v>
      </c>
      <c r="H13" s="675">
        <f>[7]C_41!$G$26*1000000</f>
        <v>2166680348.3807607</v>
      </c>
      <c r="I13" s="526"/>
      <c r="J13" s="526"/>
      <c r="K13" s="526"/>
      <c r="L13" s="525"/>
      <c r="M13" s="525"/>
      <c r="N13" s="525"/>
      <c r="O13" s="525"/>
      <c r="P13" s="525"/>
      <c r="Q13" s="525"/>
      <c r="R13" s="526"/>
      <c r="S13" s="526"/>
      <c r="T13" s="526"/>
      <c r="U13" s="526"/>
      <c r="V13" s="526"/>
      <c r="W13" s="524">
        <f t="shared" si="0"/>
        <v>11192791939.60076</v>
      </c>
      <c r="X13" s="526">
        <v>11192791939.60076</v>
      </c>
      <c r="Y13" s="473">
        <f t="shared" si="1"/>
        <v>0</v>
      </c>
      <c r="Z13" s="479"/>
      <c r="AA13" s="479"/>
      <c r="AB13" s="479"/>
      <c r="AC13" s="479"/>
      <c r="AD13" s="479"/>
      <c r="AE13" s="479"/>
      <c r="AF13" s="479"/>
      <c r="AG13" s="479"/>
      <c r="AH13" s="479"/>
      <c r="AI13" s="479"/>
      <c r="AJ13" s="479"/>
      <c r="AK13" s="479"/>
      <c r="AL13" s="479"/>
      <c r="AM13" s="479"/>
      <c r="AN13" s="479"/>
      <c r="AO13" s="479"/>
      <c r="AP13" s="479"/>
      <c r="AQ13" s="479"/>
      <c r="AR13" s="479"/>
      <c r="AS13" s="479"/>
      <c r="AT13" s="479"/>
      <c r="AU13" s="479"/>
      <c r="AV13" s="479"/>
      <c r="AW13" s="479"/>
      <c r="AX13" s="479"/>
      <c r="AY13" s="479"/>
      <c r="AZ13" s="479"/>
      <c r="BA13" s="479"/>
      <c r="BB13" s="479"/>
      <c r="BC13" s="479"/>
      <c r="BD13" s="479"/>
      <c r="BE13" s="479"/>
      <c r="BF13" s="479"/>
      <c r="BG13" s="479"/>
      <c r="BH13" s="479"/>
      <c r="BI13" s="479"/>
      <c r="BJ13" s="479"/>
      <c r="BK13" s="479"/>
      <c r="BL13" s="479"/>
      <c r="BM13" s="479"/>
      <c r="BN13" s="479"/>
      <c r="BO13" s="479"/>
      <c r="BP13" s="479"/>
      <c r="BQ13" s="479"/>
      <c r="BR13" s="479"/>
      <c r="BS13" s="479"/>
      <c r="BT13" s="479"/>
      <c r="BU13" s="479"/>
      <c r="BV13" s="479"/>
      <c r="BW13" s="479"/>
      <c r="BX13" s="479"/>
      <c r="BY13" s="479"/>
      <c r="BZ13" s="479"/>
      <c r="CA13" s="479"/>
      <c r="CB13" s="479"/>
      <c r="CC13" s="479"/>
    </row>
    <row r="14" spans="2:81" ht="54" customHeight="1" x14ac:dyDescent="0.3">
      <c r="B14" s="791"/>
      <c r="C14" s="793"/>
      <c r="D14" s="798"/>
      <c r="E14" s="765" t="s">
        <v>560</v>
      </c>
      <c r="F14" s="523"/>
      <c r="G14" s="526"/>
      <c r="H14" s="526"/>
      <c r="I14" s="526"/>
      <c r="J14" s="526"/>
      <c r="K14" s="526"/>
      <c r="L14" s="525"/>
      <c r="M14" s="525"/>
      <c r="N14" s="525"/>
      <c r="O14" s="525"/>
      <c r="P14" s="526"/>
      <c r="Q14" s="526"/>
      <c r="R14" s="526"/>
      <c r="S14" s="675">
        <f>+SUM(MICROSAM!AT69:BH69)</f>
        <v>17208534636</v>
      </c>
      <c r="T14" s="526"/>
      <c r="U14" s="526"/>
      <c r="V14" s="526"/>
      <c r="W14" s="524">
        <f t="shared" si="0"/>
        <v>17208534636</v>
      </c>
      <c r="X14" s="526">
        <v>17208534636</v>
      </c>
      <c r="Y14" s="473">
        <f t="shared" si="1"/>
        <v>0</v>
      </c>
      <c r="Z14" s="479"/>
      <c r="AA14" s="479"/>
      <c r="AB14" s="479"/>
      <c r="AC14" s="479"/>
      <c r="AD14" s="479"/>
      <c r="AE14" s="479"/>
      <c r="AF14" s="479"/>
      <c r="AG14" s="479"/>
      <c r="AH14" s="479"/>
      <c r="AI14" s="479"/>
      <c r="AJ14" s="479"/>
      <c r="AK14" s="479"/>
      <c r="AL14" s="479"/>
      <c r="AM14" s="479"/>
      <c r="AN14" s="479"/>
      <c r="AO14" s="479"/>
      <c r="AP14" s="479"/>
      <c r="AQ14" s="479"/>
      <c r="AR14" s="479"/>
      <c r="AS14" s="479"/>
      <c r="AT14" s="479"/>
      <c r="AU14" s="479"/>
      <c r="AV14" s="479"/>
      <c r="AW14" s="479"/>
      <c r="AX14" s="479"/>
      <c r="AY14" s="479"/>
      <c r="AZ14" s="479"/>
      <c r="BA14" s="479"/>
      <c r="BB14" s="479"/>
      <c r="BC14" s="479"/>
      <c r="BD14" s="479"/>
      <c r="BE14" s="479"/>
      <c r="BF14" s="479"/>
      <c r="BG14" s="479"/>
      <c r="BH14" s="479"/>
      <c r="BI14" s="479"/>
      <c r="BJ14" s="479"/>
      <c r="BK14" s="479"/>
      <c r="BL14" s="479"/>
      <c r="BM14" s="479"/>
      <c r="BN14" s="479"/>
      <c r="BO14" s="479"/>
      <c r="BP14" s="479"/>
      <c r="BQ14" s="479"/>
      <c r="BR14" s="479"/>
      <c r="BS14" s="479"/>
      <c r="BT14" s="479"/>
      <c r="BU14" s="479"/>
      <c r="BV14" s="479"/>
      <c r="BW14" s="479"/>
      <c r="BX14" s="479"/>
      <c r="BY14" s="479"/>
      <c r="BZ14" s="479"/>
      <c r="CA14" s="479"/>
      <c r="CB14" s="479"/>
      <c r="CC14" s="479"/>
    </row>
    <row r="15" spans="2:81" ht="54" customHeight="1" x14ac:dyDescent="0.3">
      <c r="B15" s="791"/>
      <c r="C15" s="793"/>
      <c r="D15" s="798"/>
      <c r="E15" s="765" t="s">
        <v>527</v>
      </c>
      <c r="F15" s="523"/>
      <c r="G15" s="526"/>
      <c r="H15" s="526"/>
      <c r="I15" s="526"/>
      <c r="J15" s="526"/>
      <c r="K15" s="526"/>
      <c r="L15" s="525"/>
      <c r="M15" s="525"/>
      <c r="N15" s="525"/>
      <c r="O15" s="525"/>
      <c r="P15" s="526"/>
      <c r="Q15" s="526"/>
      <c r="R15" s="526"/>
      <c r="S15" s="675">
        <f>+SUM(MICROSAM!AT70:BH70)</f>
        <v>2744294253</v>
      </c>
      <c r="T15" s="526"/>
      <c r="U15" s="526"/>
      <c r="V15" s="526"/>
      <c r="W15" s="524">
        <f t="shared" si="0"/>
        <v>2744294253</v>
      </c>
      <c r="X15" s="526">
        <v>2744294253</v>
      </c>
      <c r="Y15" s="473">
        <f t="shared" si="1"/>
        <v>0</v>
      </c>
      <c r="Z15" s="479"/>
      <c r="AA15" s="479"/>
      <c r="AB15" s="479"/>
      <c r="AC15" s="479"/>
      <c r="AD15" s="479"/>
      <c r="AE15" s="479"/>
      <c r="AF15" s="479"/>
      <c r="AG15" s="479"/>
      <c r="AH15" s="479"/>
      <c r="AI15" s="479"/>
      <c r="AJ15" s="479"/>
      <c r="AK15" s="479"/>
      <c r="AL15" s="479"/>
      <c r="AM15" s="479"/>
      <c r="AN15" s="479"/>
      <c r="AO15" s="479"/>
      <c r="AP15" s="479"/>
      <c r="AQ15" s="479"/>
      <c r="AR15" s="479"/>
      <c r="AS15" s="479"/>
      <c r="AT15" s="479"/>
      <c r="AU15" s="479"/>
      <c r="AV15" s="479"/>
      <c r="AW15" s="479"/>
      <c r="AX15" s="479"/>
      <c r="AY15" s="479"/>
      <c r="AZ15" s="479"/>
      <c r="BA15" s="479"/>
      <c r="BB15" s="479"/>
      <c r="BC15" s="479"/>
      <c r="BD15" s="479"/>
      <c r="BE15" s="479"/>
      <c r="BF15" s="479"/>
      <c r="BG15" s="479"/>
      <c r="BH15" s="479"/>
      <c r="BI15" s="479"/>
      <c r="BJ15" s="479"/>
      <c r="BK15" s="479"/>
      <c r="BL15" s="479"/>
      <c r="BM15" s="479"/>
      <c r="BN15" s="479"/>
      <c r="BO15" s="479"/>
      <c r="BP15" s="479"/>
      <c r="BQ15" s="479"/>
      <c r="BR15" s="479"/>
      <c r="BS15" s="479"/>
      <c r="BT15" s="479"/>
      <c r="BU15" s="479"/>
      <c r="BV15" s="479"/>
      <c r="BW15" s="479"/>
      <c r="BX15" s="479"/>
      <c r="BY15" s="479"/>
      <c r="BZ15" s="479"/>
      <c r="CA15" s="479"/>
      <c r="CB15" s="479"/>
      <c r="CC15" s="479"/>
    </row>
    <row r="16" spans="2:81" ht="44.25" customHeight="1" x14ac:dyDescent="0.3">
      <c r="B16" s="791"/>
      <c r="C16" s="794"/>
      <c r="D16" s="790"/>
      <c r="E16" s="765" t="s">
        <v>577</v>
      </c>
      <c r="F16" s="523"/>
      <c r="G16" s="526"/>
      <c r="H16" s="675">
        <f>+SUM(L10:L26)-SUM(MICROSAM!H28:U28)-SUM(MICROSAM!W28:BO28)</f>
        <v>4080961523.1730118</v>
      </c>
      <c r="I16" s="675">
        <f>+MICROSAM!BK28</f>
        <v>11192791939.60076</v>
      </c>
      <c r="J16" s="675">
        <f>+MICROSAM!BL28</f>
        <v>17208534636</v>
      </c>
      <c r="K16" s="675">
        <f>+MICROSAM!BM28</f>
        <v>2744294253</v>
      </c>
      <c r="L16" s="526"/>
      <c r="M16" s="526"/>
      <c r="N16" s="526"/>
      <c r="O16" s="526"/>
      <c r="P16" s="525"/>
      <c r="Q16" s="525"/>
      <c r="R16" s="525"/>
      <c r="S16" s="525"/>
      <c r="T16" s="525"/>
      <c r="U16" s="675">
        <f>+Parámetros!B5*'balanza de pagos'!P18*[7]C_1!$I$12*1000000</f>
        <v>1499034674.7843161</v>
      </c>
      <c r="V16" s="675">
        <f>+[7]C_31!$G$34*1000000</f>
        <v>3860350681.7171998</v>
      </c>
      <c r="W16" s="524">
        <f t="shared" si="0"/>
        <v>40585967708.275291</v>
      </c>
      <c r="X16" s="526">
        <v>40585967708.275291</v>
      </c>
      <c r="Y16" s="473">
        <f t="shared" si="1"/>
        <v>0</v>
      </c>
      <c r="Z16" s="480"/>
      <c r="AA16" s="480"/>
      <c r="AB16" s="479"/>
      <c r="AC16" s="479"/>
      <c r="AD16" s="479"/>
      <c r="AE16" s="479"/>
      <c r="AF16" s="479"/>
      <c r="AG16" s="479"/>
      <c r="AH16" s="479"/>
      <c r="AI16" s="479"/>
      <c r="AJ16" s="479"/>
      <c r="AK16" s="479"/>
      <c r="AL16" s="479"/>
      <c r="AM16" s="479"/>
      <c r="AN16" s="479"/>
      <c r="AO16" s="479"/>
      <c r="AP16" s="479"/>
      <c r="AQ16" s="479"/>
      <c r="AR16" s="479"/>
      <c r="AS16" s="479"/>
      <c r="AT16" s="479"/>
      <c r="AU16" s="479"/>
      <c r="AV16" s="479"/>
      <c r="AW16" s="479"/>
      <c r="AX16" s="479"/>
      <c r="AY16" s="479"/>
      <c r="AZ16" s="479"/>
      <c r="BA16" s="479"/>
      <c r="BB16" s="479"/>
      <c r="BC16" s="479"/>
      <c r="BD16" s="479"/>
      <c r="BE16" s="479"/>
      <c r="BF16" s="479"/>
      <c r="BG16" s="479"/>
      <c r="BH16" s="479"/>
      <c r="BI16" s="479"/>
      <c r="BJ16" s="479"/>
      <c r="BK16" s="479"/>
      <c r="BL16" s="479"/>
      <c r="BM16" s="479"/>
      <c r="BN16" s="479"/>
      <c r="BO16" s="479"/>
      <c r="BP16" s="479"/>
      <c r="BQ16" s="479"/>
      <c r="BR16" s="479"/>
      <c r="BS16" s="479"/>
      <c r="BT16" s="479"/>
      <c r="BU16" s="479"/>
      <c r="BV16" s="479"/>
      <c r="BW16" s="479"/>
      <c r="BX16" s="479"/>
      <c r="BY16" s="479"/>
      <c r="BZ16" s="479"/>
      <c r="CA16" s="479"/>
      <c r="CB16" s="479"/>
      <c r="CC16" s="479"/>
    </row>
    <row r="17" spans="1:81" ht="44.25" customHeight="1" x14ac:dyDescent="0.3">
      <c r="B17" s="791"/>
      <c r="C17" s="785" t="s">
        <v>727</v>
      </c>
      <c r="D17" s="786"/>
      <c r="E17" s="787"/>
      <c r="F17" s="523"/>
      <c r="G17" s="526"/>
      <c r="H17" s="526"/>
      <c r="I17" s="526"/>
      <c r="J17" s="526"/>
      <c r="K17" s="526"/>
      <c r="L17" s="675">
        <f>+SUM(MICROSAM!W29:W31)</f>
        <v>10766646727</v>
      </c>
      <c r="M17" s="526"/>
      <c r="N17" s="526"/>
      <c r="O17" s="526"/>
      <c r="P17" s="525"/>
      <c r="Q17" s="525"/>
      <c r="R17" s="525"/>
      <c r="S17" s="525"/>
      <c r="T17" s="525"/>
      <c r="U17" s="526"/>
      <c r="V17" s="526"/>
      <c r="W17" s="524">
        <f t="shared" si="0"/>
        <v>10766646727</v>
      </c>
      <c r="X17" s="526">
        <v>10766646727.000002</v>
      </c>
      <c r="Y17" s="473">
        <f t="shared" si="1"/>
        <v>0</v>
      </c>
      <c r="Z17" s="480"/>
      <c r="AA17" s="480"/>
      <c r="AB17" s="479"/>
      <c r="AC17" s="479"/>
      <c r="AD17" s="479"/>
      <c r="AE17" s="479"/>
      <c r="AF17" s="479"/>
      <c r="AG17" s="479"/>
      <c r="AH17" s="479"/>
      <c r="AI17" s="479"/>
      <c r="AJ17" s="479"/>
      <c r="AK17" s="479"/>
      <c r="AL17" s="479"/>
      <c r="AM17" s="479"/>
      <c r="AN17" s="479"/>
      <c r="AO17" s="479"/>
      <c r="AP17" s="479"/>
      <c r="AQ17" s="479"/>
      <c r="AR17" s="479"/>
      <c r="AS17" s="479"/>
      <c r="AT17" s="479"/>
      <c r="AU17" s="479"/>
      <c r="AV17" s="479"/>
      <c r="AW17" s="479"/>
      <c r="AX17" s="479"/>
      <c r="AY17" s="479"/>
      <c r="AZ17" s="479"/>
      <c r="BA17" s="479"/>
      <c r="BB17" s="479"/>
      <c r="BC17" s="479"/>
      <c r="BD17" s="479"/>
      <c r="BE17" s="479"/>
      <c r="BF17" s="479"/>
      <c r="BG17" s="479"/>
      <c r="BH17" s="479"/>
      <c r="BI17" s="479"/>
      <c r="BJ17" s="479"/>
      <c r="BK17" s="479"/>
      <c r="BL17" s="479"/>
      <c r="BM17" s="479"/>
      <c r="BN17" s="479"/>
      <c r="BO17" s="479"/>
      <c r="BP17" s="479"/>
      <c r="BQ17" s="479"/>
      <c r="BR17" s="479"/>
      <c r="BS17" s="479"/>
      <c r="BT17" s="479"/>
      <c r="BU17" s="479"/>
      <c r="BV17" s="479"/>
      <c r="BW17" s="479"/>
      <c r="BX17" s="479"/>
      <c r="BY17" s="479"/>
      <c r="BZ17" s="479"/>
      <c r="CA17" s="479"/>
      <c r="CB17" s="479"/>
      <c r="CC17" s="479"/>
    </row>
    <row r="18" spans="1:81" ht="44.25" customHeight="1" x14ac:dyDescent="0.3">
      <c r="B18" s="791"/>
      <c r="C18" s="785" t="s">
        <v>732</v>
      </c>
      <c r="D18" s="786"/>
      <c r="E18" s="787"/>
      <c r="F18" s="523"/>
      <c r="G18" s="675">
        <f>+L17</f>
        <v>10766646727</v>
      </c>
      <c r="H18" s="526"/>
      <c r="I18" s="526"/>
      <c r="J18" s="526"/>
      <c r="K18" s="526"/>
      <c r="L18" s="526"/>
      <c r="M18" s="526"/>
      <c r="N18" s="526"/>
      <c r="O18" s="526"/>
      <c r="P18" s="525"/>
      <c r="Q18" s="525"/>
      <c r="R18" s="525"/>
      <c r="S18" s="526"/>
      <c r="T18" s="525"/>
      <c r="U18" s="526"/>
      <c r="V18" s="526"/>
      <c r="W18" s="524">
        <f t="shared" si="0"/>
        <v>10766646727</v>
      </c>
      <c r="X18" s="526">
        <v>10766646727</v>
      </c>
      <c r="Y18" s="473">
        <f t="shared" si="1"/>
        <v>0</v>
      </c>
      <c r="Z18" s="480"/>
      <c r="AA18" s="480"/>
      <c r="AB18" s="479"/>
      <c r="AC18" s="479"/>
      <c r="AD18" s="479"/>
      <c r="AE18" s="479"/>
      <c r="AF18" s="479"/>
      <c r="AG18" s="479"/>
      <c r="AH18" s="479"/>
      <c r="AI18" s="479"/>
      <c r="AJ18" s="479"/>
      <c r="AK18" s="479"/>
      <c r="AL18" s="479"/>
      <c r="AM18" s="479"/>
      <c r="AN18" s="479"/>
      <c r="AO18" s="479"/>
      <c r="AP18" s="479"/>
      <c r="AQ18" s="479"/>
      <c r="AR18" s="479"/>
      <c r="AS18" s="479"/>
      <c r="AT18" s="479"/>
      <c r="AU18" s="479"/>
      <c r="AV18" s="479"/>
      <c r="AW18" s="479"/>
      <c r="AX18" s="479"/>
      <c r="AY18" s="479"/>
      <c r="AZ18" s="479"/>
      <c r="BA18" s="479"/>
      <c r="BB18" s="479"/>
      <c r="BC18" s="479"/>
      <c r="BD18" s="479"/>
      <c r="BE18" s="479"/>
      <c r="BF18" s="479"/>
      <c r="BG18" s="479"/>
      <c r="BH18" s="479"/>
      <c r="BI18" s="479"/>
      <c r="BJ18" s="479"/>
      <c r="BK18" s="479"/>
      <c r="BL18" s="479"/>
      <c r="BM18" s="479"/>
      <c r="BN18" s="479"/>
      <c r="BO18" s="479"/>
      <c r="BP18" s="479"/>
      <c r="BQ18" s="479"/>
      <c r="BR18" s="479"/>
      <c r="BS18" s="479"/>
      <c r="BT18" s="479"/>
      <c r="BU18" s="479"/>
      <c r="BV18" s="479"/>
      <c r="BW18" s="479"/>
      <c r="BX18" s="479"/>
      <c r="BY18" s="479"/>
      <c r="BZ18" s="479"/>
      <c r="CA18" s="479"/>
      <c r="CB18" s="479"/>
      <c r="CC18" s="479"/>
    </row>
    <row r="19" spans="1:81" ht="44.25" customHeight="1" x14ac:dyDescent="0.3">
      <c r="B19" s="791"/>
      <c r="C19" s="785" t="s">
        <v>733</v>
      </c>
      <c r="D19" s="786"/>
      <c r="E19" s="787"/>
      <c r="F19" s="523"/>
      <c r="G19" s="526"/>
      <c r="H19" s="526"/>
      <c r="I19" s="526"/>
      <c r="J19" s="526"/>
      <c r="K19" s="526"/>
      <c r="L19" s="675">
        <f>+MICROSAM!W33</f>
        <v>6442591293.4041843</v>
      </c>
      <c r="M19" s="526"/>
      <c r="N19" s="526"/>
      <c r="O19" s="526"/>
      <c r="P19" s="525"/>
      <c r="Q19" s="525"/>
      <c r="R19" s="525"/>
      <c r="S19" s="526"/>
      <c r="T19" s="525"/>
      <c r="U19" s="526"/>
      <c r="V19" s="526"/>
      <c r="W19" s="524">
        <f t="shared" si="0"/>
        <v>6442591293.4041843</v>
      </c>
      <c r="X19" s="526">
        <v>6442591293.4041843</v>
      </c>
      <c r="Y19" s="473"/>
      <c r="Z19" s="480"/>
      <c r="AA19" s="480"/>
      <c r="AB19" s="479"/>
      <c r="AC19" s="479"/>
      <c r="AD19" s="479"/>
      <c r="AE19" s="479"/>
      <c r="AF19" s="479"/>
      <c r="AG19" s="479"/>
      <c r="AH19" s="479"/>
      <c r="AI19" s="479"/>
      <c r="AJ19" s="479"/>
      <c r="AK19" s="479"/>
      <c r="AL19" s="479"/>
      <c r="AM19" s="479"/>
      <c r="AN19" s="479"/>
      <c r="AO19" s="479"/>
      <c r="AP19" s="479"/>
      <c r="AQ19" s="479"/>
      <c r="AR19" s="479"/>
      <c r="AS19" s="479"/>
      <c r="AT19" s="479"/>
      <c r="AU19" s="479"/>
      <c r="AV19" s="479"/>
      <c r="AW19" s="479"/>
      <c r="AX19" s="479"/>
      <c r="AY19" s="479"/>
      <c r="AZ19" s="479"/>
      <c r="BA19" s="479"/>
      <c r="BB19" s="479"/>
      <c r="BC19" s="479"/>
      <c r="BD19" s="479"/>
      <c r="BE19" s="479"/>
      <c r="BF19" s="479"/>
      <c r="BG19" s="479"/>
      <c r="BH19" s="479"/>
      <c r="BI19" s="479"/>
      <c r="BJ19" s="479"/>
      <c r="BK19" s="479"/>
      <c r="BL19" s="479"/>
      <c r="BM19" s="479"/>
      <c r="BN19" s="479"/>
      <c r="BO19" s="479"/>
      <c r="BP19" s="479"/>
      <c r="BQ19" s="479"/>
      <c r="BR19" s="479"/>
      <c r="BS19" s="479"/>
      <c r="BT19" s="479"/>
      <c r="BU19" s="479"/>
      <c r="BV19" s="479"/>
      <c r="BW19" s="479"/>
      <c r="BX19" s="479"/>
      <c r="BY19" s="479"/>
      <c r="BZ19" s="479"/>
      <c r="CA19" s="479"/>
      <c r="CB19" s="479"/>
      <c r="CC19" s="479"/>
    </row>
    <row r="20" spans="1:81" ht="44.25" customHeight="1" x14ac:dyDescent="0.3">
      <c r="B20" s="791"/>
      <c r="C20" s="785" t="s">
        <v>581</v>
      </c>
      <c r="D20" s="786"/>
      <c r="E20" s="787"/>
      <c r="F20" s="523"/>
      <c r="G20" s="675">
        <f>+SUM(MICROSAM!O34:U34)</f>
        <v>39786160250.775299</v>
      </c>
      <c r="H20" s="675">
        <f>+P27-SUM(F20:G20)-SUM(I20:V20)</f>
        <v>358356115.86608505</v>
      </c>
      <c r="I20" s="526"/>
      <c r="J20" s="526"/>
      <c r="K20" s="526"/>
      <c r="L20" s="675">
        <f>+[7]C_30!$G$33*1000000</f>
        <v>-2595520376.1447639</v>
      </c>
      <c r="M20" s="526"/>
      <c r="N20" s="526"/>
      <c r="O20" s="526"/>
      <c r="P20" s="525"/>
      <c r="Q20" s="526"/>
      <c r="R20" s="525"/>
      <c r="S20" s="526"/>
      <c r="T20" s="526"/>
      <c r="U20" s="675">
        <f>W25-SUM(U10:U19)-SUM(U21:U26)</f>
        <v>-187159546.3189621</v>
      </c>
      <c r="V20" s="526"/>
      <c r="W20" s="524">
        <f t="shared" si="0"/>
        <v>37361836444.177666</v>
      </c>
      <c r="X20" s="526">
        <v>37361836444.177658</v>
      </c>
      <c r="Y20" s="473">
        <f t="shared" si="1"/>
        <v>0</v>
      </c>
      <c r="Z20" s="480"/>
      <c r="AA20" s="480"/>
      <c r="AB20" s="479"/>
      <c r="AC20" s="479"/>
      <c r="AD20" s="479"/>
      <c r="AE20" s="479"/>
      <c r="AF20" s="479"/>
      <c r="AG20" s="479"/>
      <c r="AH20" s="479"/>
      <c r="AI20" s="479"/>
      <c r="AJ20" s="479"/>
      <c r="AK20" s="479"/>
      <c r="AL20" s="479"/>
      <c r="AM20" s="479"/>
      <c r="AN20" s="479"/>
      <c r="AO20" s="479"/>
      <c r="AP20" s="479"/>
      <c r="AQ20" s="479"/>
      <c r="AR20" s="479"/>
      <c r="AS20" s="479"/>
      <c r="AT20" s="479"/>
      <c r="AU20" s="479"/>
      <c r="AV20" s="479"/>
      <c r="AW20" s="479"/>
      <c r="AX20" s="479"/>
      <c r="AY20" s="479"/>
      <c r="AZ20" s="479"/>
      <c r="BA20" s="479"/>
      <c r="BB20" s="479"/>
      <c r="BC20" s="479"/>
      <c r="BD20" s="479"/>
      <c r="BE20" s="479"/>
      <c r="BF20" s="479"/>
      <c r="BG20" s="479"/>
      <c r="BH20" s="479"/>
      <c r="BI20" s="479"/>
      <c r="BJ20" s="479"/>
      <c r="BK20" s="479"/>
      <c r="BL20" s="479"/>
      <c r="BM20" s="479"/>
      <c r="BN20" s="479"/>
      <c r="BO20" s="479"/>
      <c r="BP20" s="479"/>
      <c r="BQ20" s="479"/>
      <c r="BR20" s="479"/>
      <c r="BS20" s="479"/>
      <c r="BT20" s="479"/>
      <c r="BU20" s="479"/>
      <c r="BV20" s="479"/>
      <c r="BW20" s="479"/>
      <c r="BX20" s="479"/>
      <c r="BY20" s="479"/>
      <c r="BZ20" s="479"/>
      <c r="CA20" s="479"/>
      <c r="CB20" s="479"/>
      <c r="CC20" s="479"/>
    </row>
    <row r="21" spans="1:81" ht="49.5" customHeight="1" x14ac:dyDescent="0.3">
      <c r="B21" s="791"/>
      <c r="C21" s="785" t="s">
        <v>285</v>
      </c>
      <c r="D21" s="786"/>
      <c r="E21" s="787"/>
      <c r="F21" s="523"/>
      <c r="G21" s="526"/>
      <c r="H21" s="526"/>
      <c r="I21" s="526"/>
      <c r="J21" s="526"/>
      <c r="K21" s="526"/>
      <c r="L21" s="526"/>
      <c r="M21" s="526"/>
      <c r="N21" s="526"/>
      <c r="O21" s="526"/>
      <c r="P21" s="675">
        <f>+MICROSAM!AC35</f>
        <v>1539349504</v>
      </c>
      <c r="Q21" s="525"/>
      <c r="R21" s="525"/>
      <c r="S21" s="526"/>
      <c r="T21" s="526"/>
      <c r="U21" s="526"/>
      <c r="V21" s="526"/>
      <c r="W21" s="524">
        <f t="shared" si="0"/>
        <v>1539349504</v>
      </c>
      <c r="X21" s="526">
        <v>1539349504</v>
      </c>
      <c r="Y21" s="473">
        <f t="shared" si="1"/>
        <v>0</v>
      </c>
      <c r="Z21" s="479"/>
      <c r="AA21" s="479"/>
      <c r="AB21" s="479"/>
      <c r="AC21" s="479"/>
      <c r="AD21" s="479"/>
      <c r="AE21" s="479"/>
      <c r="AF21" s="479"/>
      <c r="AG21" s="479"/>
      <c r="AH21" s="479"/>
      <c r="AI21" s="479"/>
      <c r="AJ21" s="479"/>
      <c r="AK21" s="479"/>
      <c r="AL21" s="479"/>
      <c r="AM21" s="479"/>
      <c r="AN21" s="479"/>
      <c r="AO21" s="479"/>
      <c r="AP21" s="479"/>
      <c r="AQ21" s="479"/>
      <c r="AR21" s="479"/>
      <c r="AS21" s="479"/>
      <c r="AT21" s="479"/>
      <c r="AU21" s="479"/>
      <c r="AV21" s="479"/>
      <c r="AW21" s="479"/>
      <c r="AX21" s="479"/>
      <c r="AY21" s="479"/>
      <c r="AZ21" s="479"/>
      <c r="BA21" s="479"/>
      <c r="BB21" s="479"/>
      <c r="BC21" s="479"/>
      <c r="BD21" s="479"/>
      <c r="BE21" s="479"/>
      <c r="BF21" s="479"/>
      <c r="BG21" s="479"/>
      <c r="BH21" s="479"/>
      <c r="BI21" s="479"/>
      <c r="BJ21" s="479"/>
      <c r="BK21" s="479"/>
      <c r="BL21" s="479"/>
      <c r="BM21" s="479"/>
      <c r="BN21" s="479"/>
      <c r="BO21" s="479"/>
      <c r="BP21" s="479"/>
      <c r="BQ21" s="479"/>
      <c r="BR21" s="479"/>
      <c r="BS21" s="479"/>
      <c r="BT21" s="479"/>
      <c r="BU21" s="479"/>
      <c r="BV21" s="479"/>
      <c r="BW21" s="479"/>
      <c r="BX21" s="479"/>
      <c r="BY21" s="479"/>
      <c r="BZ21" s="479"/>
      <c r="CA21" s="479"/>
      <c r="CB21" s="479"/>
      <c r="CC21" s="479"/>
    </row>
    <row r="22" spans="1:81" ht="49.5" customHeight="1" x14ac:dyDescent="0.3">
      <c r="B22" s="791"/>
      <c r="C22" s="785" t="s">
        <v>579</v>
      </c>
      <c r="D22" s="786"/>
      <c r="E22" s="787"/>
      <c r="F22" s="523"/>
      <c r="G22" s="675">
        <f>+SUM(MICROSAM!O36:U50)</f>
        <v>14732444287.307922</v>
      </c>
      <c r="H22" s="525"/>
      <c r="I22" s="525"/>
      <c r="J22" s="525"/>
      <c r="K22" s="525"/>
      <c r="L22" s="526"/>
      <c r="M22" s="526"/>
      <c r="N22" s="526"/>
      <c r="O22" s="526"/>
      <c r="P22" s="525"/>
      <c r="Q22" s="525"/>
      <c r="R22" s="525"/>
      <c r="S22" s="675">
        <f>+SUM(MICROSAM!AT36:BH50)</f>
        <v>375827289490.69208</v>
      </c>
      <c r="T22" s="528"/>
      <c r="U22" s="526"/>
      <c r="V22" s="526"/>
      <c r="W22" s="524">
        <f t="shared" si="0"/>
        <v>390559733778</v>
      </c>
      <c r="X22" s="526">
        <v>390559730831</v>
      </c>
      <c r="Y22" s="473">
        <f t="shared" si="1"/>
        <v>-2947</v>
      </c>
      <c r="Z22" s="479"/>
      <c r="AA22" s="479"/>
      <c r="AB22" s="479"/>
      <c r="AC22" s="479"/>
      <c r="AD22" s="479"/>
      <c r="AE22" s="479"/>
      <c r="AF22" s="479"/>
      <c r="AG22" s="479"/>
      <c r="AH22" s="479"/>
      <c r="AI22" s="479"/>
      <c r="AJ22" s="479"/>
      <c r="AK22" s="479"/>
      <c r="AL22" s="479"/>
      <c r="AM22" s="479"/>
      <c r="AN22" s="479"/>
      <c r="AO22" s="479"/>
      <c r="AP22" s="479"/>
      <c r="AQ22" s="479"/>
      <c r="AR22" s="479"/>
      <c r="AS22" s="479"/>
      <c r="AT22" s="479"/>
      <c r="AU22" s="479"/>
      <c r="AV22" s="479"/>
      <c r="AW22" s="479"/>
      <c r="AX22" s="479"/>
      <c r="AY22" s="479"/>
      <c r="AZ22" s="479"/>
      <c r="BA22" s="479"/>
      <c r="BB22" s="479"/>
      <c r="BC22" s="479"/>
      <c r="BD22" s="479"/>
      <c r="BE22" s="479"/>
      <c r="BF22" s="479"/>
      <c r="BG22" s="479"/>
      <c r="BH22" s="479"/>
      <c r="BI22" s="479"/>
      <c r="BJ22" s="479"/>
      <c r="BK22" s="479"/>
      <c r="BL22" s="479"/>
      <c r="BM22" s="479"/>
      <c r="BN22" s="479"/>
      <c r="BO22" s="479"/>
      <c r="BP22" s="479"/>
      <c r="BQ22" s="479"/>
      <c r="BR22" s="479"/>
      <c r="BS22" s="479"/>
      <c r="BT22" s="479"/>
      <c r="BU22" s="479"/>
      <c r="BV22" s="479"/>
      <c r="BW22" s="479"/>
      <c r="BX22" s="479"/>
      <c r="BY22" s="479"/>
      <c r="BZ22" s="479"/>
      <c r="CA22" s="479"/>
      <c r="CB22" s="479"/>
      <c r="CC22" s="479"/>
    </row>
    <row r="23" spans="1:81" ht="51" customHeight="1" x14ac:dyDescent="0.3">
      <c r="B23" s="791"/>
      <c r="C23" s="785" t="s">
        <v>559</v>
      </c>
      <c r="D23" s="786"/>
      <c r="E23" s="787"/>
      <c r="F23" s="523"/>
      <c r="G23" s="675">
        <f>+SUM(MICROSAM!O51:U65)</f>
        <v>145560997088.69208</v>
      </c>
      <c r="H23" s="525"/>
      <c r="I23" s="525"/>
      <c r="J23" s="525"/>
      <c r="K23" s="525"/>
      <c r="L23" s="675">
        <f>+SUM(MICROSAM!W51:W65)</f>
        <v>12297003576.999998</v>
      </c>
      <c r="M23" s="526"/>
      <c r="N23" s="675">
        <f>+MICROSAM!AA63</f>
        <v>10766646727</v>
      </c>
      <c r="O23" s="675">
        <f>++SUM(MICROSAM!AB51:AB65)</f>
        <v>6442591293.4041843</v>
      </c>
      <c r="P23" s="675">
        <f>+SUM(MICROSAM!AC51:AC65)</f>
        <v>35822486940.177658</v>
      </c>
      <c r="Q23" s="675">
        <f>+SUM(MICROSAM!AD51:AD65)</f>
        <v>1539349504</v>
      </c>
      <c r="R23" s="675">
        <f>+SUM(MICROSAM!AE51:AS65)</f>
        <v>176871896975</v>
      </c>
      <c r="S23" s="528"/>
      <c r="T23" s="675">
        <f>+SUM(MICROSAM!BI59:BJ59)</f>
        <v>47429009736</v>
      </c>
      <c r="U23" s="675">
        <f>+SUM(MICROSAM!BN51:BN65)</f>
        <v>49720004992</v>
      </c>
      <c r="V23" s="526"/>
      <c r="W23" s="524">
        <f t="shared" si="0"/>
        <v>486449986833.27393</v>
      </c>
      <c r="X23" s="526">
        <v>486449982091.69208</v>
      </c>
      <c r="Y23" s="473">
        <f t="shared" si="1"/>
        <v>-4741.5818481445313</v>
      </c>
      <c r="Z23" s="480"/>
      <c r="AA23" s="479"/>
      <c r="AB23" s="479"/>
      <c r="AC23" s="479"/>
      <c r="AD23" s="479"/>
      <c r="AE23" s="479"/>
      <c r="AF23" s="479"/>
      <c r="AG23" s="479"/>
      <c r="AH23" s="479"/>
      <c r="AI23" s="479"/>
      <c r="AJ23" s="479"/>
      <c r="AK23" s="479"/>
      <c r="AL23" s="479"/>
      <c r="AM23" s="479"/>
      <c r="AN23" s="479"/>
      <c r="AO23" s="479"/>
      <c r="AP23" s="479"/>
      <c r="AQ23" s="479"/>
      <c r="AR23" s="479"/>
      <c r="AS23" s="479"/>
      <c r="AT23" s="479"/>
      <c r="AU23" s="479"/>
      <c r="AV23" s="479"/>
      <c r="AW23" s="479"/>
      <c r="AX23" s="479"/>
      <c r="AY23" s="479"/>
      <c r="AZ23" s="479"/>
      <c r="BA23" s="479"/>
      <c r="BB23" s="479"/>
      <c r="BC23" s="479"/>
      <c r="BD23" s="479"/>
      <c r="BE23" s="479"/>
      <c r="BF23" s="479"/>
      <c r="BG23" s="479"/>
      <c r="BH23" s="479"/>
      <c r="BI23" s="479"/>
      <c r="BJ23" s="479"/>
      <c r="BK23" s="479"/>
      <c r="BL23" s="479"/>
      <c r="BM23" s="479"/>
      <c r="BN23" s="479"/>
      <c r="BO23" s="479"/>
      <c r="BP23" s="479"/>
      <c r="BQ23" s="479"/>
      <c r="BR23" s="479"/>
      <c r="BS23" s="479"/>
      <c r="BT23" s="479"/>
      <c r="BU23" s="479"/>
      <c r="BV23" s="479"/>
      <c r="BW23" s="479"/>
      <c r="BX23" s="479"/>
      <c r="BY23" s="479"/>
      <c r="BZ23" s="479"/>
      <c r="CA23" s="479"/>
      <c r="CB23" s="479"/>
      <c r="CC23" s="479"/>
    </row>
    <row r="24" spans="1:81" ht="48" customHeight="1" x14ac:dyDescent="0.3">
      <c r="B24" s="791"/>
      <c r="C24" s="785" t="s">
        <v>279</v>
      </c>
      <c r="D24" s="786"/>
      <c r="E24" s="787"/>
      <c r="F24" s="523"/>
      <c r="G24" s="526"/>
      <c r="H24" s="525"/>
      <c r="I24" s="525"/>
      <c r="J24" s="525"/>
      <c r="K24" s="525"/>
      <c r="L24" s="526"/>
      <c r="M24" s="526"/>
      <c r="N24" s="526"/>
      <c r="O24" s="526"/>
      <c r="P24" s="526"/>
      <c r="Q24" s="526"/>
      <c r="R24" s="526"/>
      <c r="S24" s="675">
        <f>+SUM(MICROSAM!AT66:BH67)</f>
        <v>47429009735.999992</v>
      </c>
      <c r="T24" s="528"/>
      <c r="U24" s="528"/>
      <c r="V24" s="526"/>
      <c r="W24" s="524">
        <f t="shared" si="0"/>
        <v>47429009735.999992</v>
      </c>
      <c r="X24" s="526">
        <v>47429009736</v>
      </c>
      <c r="Y24" s="473">
        <f t="shared" si="1"/>
        <v>0</v>
      </c>
      <c r="Z24" s="479"/>
      <c r="AA24" s="479"/>
      <c r="AB24" s="479"/>
      <c r="AC24" s="479"/>
      <c r="AD24" s="479"/>
      <c r="AE24" s="479"/>
      <c r="AF24" s="479"/>
      <c r="AG24" s="479"/>
      <c r="AH24" s="479"/>
      <c r="AI24" s="479"/>
      <c r="AJ24" s="479"/>
      <c r="AK24" s="479"/>
      <c r="AL24" s="479"/>
      <c r="AM24" s="479"/>
      <c r="AN24" s="479"/>
      <c r="AO24" s="479"/>
      <c r="AP24" s="479"/>
      <c r="AQ24" s="479"/>
      <c r="AR24" s="479"/>
      <c r="AS24" s="479"/>
      <c r="AT24" s="479"/>
      <c r="AU24" s="479"/>
      <c r="AV24" s="479"/>
      <c r="AW24" s="479"/>
      <c r="AX24" s="479"/>
      <c r="AY24" s="479"/>
      <c r="AZ24" s="479"/>
      <c r="BA24" s="479"/>
      <c r="BB24" s="479"/>
      <c r="BC24" s="479"/>
      <c r="BD24" s="479"/>
      <c r="BE24" s="479"/>
      <c r="BF24" s="479"/>
      <c r="BG24" s="479"/>
      <c r="BH24" s="479"/>
      <c r="BI24" s="479"/>
      <c r="BJ24" s="479"/>
      <c r="BK24" s="479"/>
      <c r="BL24" s="479"/>
      <c r="BM24" s="479"/>
      <c r="BN24" s="479"/>
      <c r="BO24" s="479"/>
      <c r="BP24" s="479"/>
      <c r="BQ24" s="479"/>
      <c r="BR24" s="479"/>
      <c r="BS24" s="479"/>
      <c r="BT24" s="479"/>
      <c r="BU24" s="479"/>
      <c r="BV24" s="479"/>
      <c r="BW24" s="479"/>
      <c r="BX24" s="479"/>
      <c r="BY24" s="479"/>
      <c r="BZ24" s="479"/>
      <c r="CA24" s="479"/>
      <c r="CB24" s="479"/>
      <c r="CC24" s="479"/>
    </row>
    <row r="25" spans="1:81" ht="48" customHeight="1" x14ac:dyDescent="0.3">
      <c r="B25" s="791"/>
      <c r="C25" s="785" t="s">
        <v>734</v>
      </c>
      <c r="D25" s="786"/>
      <c r="E25" s="787"/>
      <c r="F25" s="523"/>
      <c r="G25" s="526"/>
      <c r="H25" s="526"/>
      <c r="I25" s="526"/>
      <c r="J25" s="526"/>
      <c r="K25" s="526"/>
      <c r="L25" s="526"/>
      <c r="M25" s="526"/>
      <c r="N25" s="526"/>
      <c r="O25" s="526"/>
      <c r="P25" s="526"/>
      <c r="Q25" s="526"/>
      <c r="R25" s="526"/>
      <c r="S25" s="675">
        <f>+SUM(MICROSAM!AT71:BH71)</f>
        <v>43240853976</v>
      </c>
      <c r="T25" s="528"/>
      <c r="U25" s="528"/>
      <c r="V25" s="675">
        <f>+L26-V16</f>
        <v>94183204.603947639</v>
      </c>
      <c r="W25" s="524">
        <f t="shared" si="0"/>
        <v>43335037180.603951</v>
      </c>
      <c r="X25" s="526">
        <v>43335037180.603951</v>
      </c>
      <c r="Y25" s="473">
        <f t="shared" si="1"/>
        <v>0</v>
      </c>
      <c r="Z25" s="479"/>
      <c r="AA25" s="479"/>
      <c r="AB25" s="479"/>
      <c r="AC25" s="479"/>
      <c r="AD25" s="479"/>
      <c r="AE25" s="479"/>
      <c r="AF25" s="479"/>
      <c r="AG25" s="479"/>
      <c r="AH25" s="479"/>
      <c r="AI25" s="479"/>
      <c r="AJ25" s="479"/>
      <c r="AK25" s="479"/>
      <c r="AL25" s="479"/>
      <c r="AM25" s="479"/>
      <c r="AN25" s="479"/>
      <c r="AO25" s="479"/>
      <c r="AP25" s="479"/>
      <c r="AQ25" s="479"/>
      <c r="AR25" s="479"/>
      <c r="AS25" s="479"/>
      <c r="AT25" s="479"/>
      <c r="AU25" s="479"/>
      <c r="AV25" s="479"/>
      <c r="AW25" s="479"/>
      <c r="AX25" s="479"/>
      <c r="AY25" s="479"/>
      <c r="AZ25" s="479"/>
      <c r="BA25" s="479"/>
      <c r="BB25" s="479"/>
      <c r="BC25" s="479"/>
      <c r="BD25" s="479"/>
      <c r="BE25" s="479"/>
      <c r="BF25" s="479"/>
      <c r="BG25" s="479"/>
      <c r="BH25" s="479"/>
      <c r="BI25" s="479"/>
      <c r="BJ25" s="479"/>
      <c r="BK25" s="479"/>
      <c r="BL25" s="479"/>
      <c r="BM25" s="479"/>
      <c r="BN25" s="479"/>
      <c r="BO25" s="479"/>
      <c r="BP25" s="479"/>
      <c r="BQ25" s="479"/>
      <c r="BR25" s="479"/>
      <c r="BS25" s="479"/>
      <c r="BT25" s="479"/>
      <c r="BU25" s="479"/>
      <c r="BV25" s="479"/>
      <c r="BW25" s="479"/>
      <c r="BX25" s="479"/>
      <c r="BY25" s="479"/>
      <c r="BZ25" s="479"/>
      <c r="CA25" s="479"/>
      <c r="CB25" s="479"/>
      <c r="CC25" s="479"/>
    </row>
    <row r="26" spans="1:81" ht="48" customHeight="1" x14ac:dyDescent="0.3">
      <c r="B26" s="791"/>
      <c r="C26" s="785" t="s">
        <v>771</v>
      </c>
      <c r="D26" s="786"/>
      <c r="E26" s="787"/>
      <c r="F26" s="523"/>
      <c r="G26" s="526"/>
      <c r="H26" s="526"/>
      <c r="I26" s="526"/>
      <c r="J26" s="526"/>
      <c r="K26" s="526"/>
      <c r="L26" s="675">
        <f>+([7]C_31!$G$30)*1000000</f>
        <v>3954533886.3211474</v>
      </c>
      <c r="M26" s="526"/>
      <c r="N26" s="526"/>
      <c r="O26" s="526"/>
      <c r="P26" s="526"/>
      <c r="Q26" s="526"/>
      <c r="R26" s="526"/>
      <c r="S26" s="528"/>
      <c r="T26" s="528"/>
      <c r="U26" s="528"/>
      <c r="V26" s="526"/>
      <c r="W26" s="524">
        <f t="shared" si="0"/>
        <v>3954533886.3211474</v>
      </c>
      <c r="X26" s="526">
        <v>3954533886.3211474</v>
      </c>
      <c r="Y26" s="473">
        <f>+X26-W26</f>
        <v>0</v>
      </c>
      <c r="Z26" s="479"/>
      <c r="AA26" s="479"/>
      <c r="AB26" s="479"/>
      <c r="AC26" s="479"/>
      <c r="AD26" s="479"/>
      <c r="AE26" s="479"/>
      <c r="AF26" s="479"/>
      <c r="AG26" s="479"/>
      <c r="AH26" s="479"/>
      <c r="AI26" s="479"/>
      <c r="AJ26" s="479"/>
      <c r="AK26" s="479"/>
      <c r="AL26" s="479"/>
      <c r="AM26" s="479"/>
      <c r="AN26" s="479"/>
      <c r="AO26" s="479"/>
      <c r="AP26" s="479"/>
      <c r="AQ26" s="479"/>
      <c r="AR26" s="479"/>
      <c r="AS26" s="479"/>
      <c r="AT26" s="479"/>
      <c r="AU26" s="479"/>
      <c r="AV26" s="479"/>
      <c r="AW26" s="479"/>
      <c r="AX26" s="479"/>
      <c r="AY26" s="479"/>
      <c r="AZ26" s="479"/>
      <c r="BA26" s="479"/>
      <c r="BB26" s="479"/>
      <c r="BC26" s="479"/>
      <c r="BD26" s="479"/>
      <c r="BE26" s="479"/>
      <c r="BF26" s="479"/>
      <c r="BG26" s="479"/>
      <c r="BH26" s="479"/>
      <c r="BI26" s="479"/>
      <c r="BJ26" s="479"/>
      <c r="BK26" s="479"/>
      <c r="BL26" s="479"/>
      <c r="BM26" s="479"/>
      <c r="BN26" s="479"/>
      <c r="BO26" s="479"/>
      <c r="BP26" s="479"/>
      <c r="BQ26" s="479"/>
      <c r="BR26" s="479"/>
      <c r="BS26" s="479"/>
      <c r="BT26" s="479"/>
      <c r="BU26" s="479"/>
      <c r="BV26" s="479"/>
      <c r="BW26" s="479"/>
      <c r="BX26" s="479"/>
      <c r="BY26" s="479"/>
      <c r="BZ26" s="479"/>
      <c r="CA26" s="479"/>
      <c r="CB26" s="479"/>
      <c r="CC26" s="479"/>
    </row>
    <row r="27" spans="1:81" ht="52.5" customHeight="1" x14ac:dyDescent="0.3">
      <c r="B27" s="791"/>
      <c r="C27" s="785" t="s">
        <v>576</v>
      </c>
      <c r="D27" s="786"/>
      <c r="E27" s="787"/>
      <c r="F27" s="526">
        <f t="shared" ref="F27:U27" si="2">+SUM(F10:F26)</f>
        <v>202493243341.64191</v>
      </c>
      <c r="G27" s="526">
        <f t="shared" si="2"/>
        <v>224308807017.9953</v>
      </c>
      <c r="H27" s="526">
        <f t="shared" si="2"/>
        <v>111943228741.24649</v>
      </c>
      <c r="I27" s="526">
        <f t="shared" si="2"/>
        <v>11192791939.60076</v>
      </c>
      <c r="J27" s="526">
        <f t="shared" si="2"/>
        <v>17208534636</v>
      </c>
      <c r="K27" s="526">
        <f t="shared" si="2"/>
        <v>2744294253</v>
      </c>
      <c r="L27" s="526">
        <f t="shared" si="2"/>
        <v>40585967708.275291</v>
      </c>
      <c r="M27" s="526">
        <f t="shared" si="2"/>
        <v>10766646727.000002</v>
      </c>
      <c r="N27" s="526">
        <f t="shared" si="2"/>
        <v>10766646727</v>
      </c>
      <c r="O27" s="526">
        <f t="shared" si="2"/>
        <v>6442591293.4041843</v>
      </c>
      <c r="P27" s="526">
        <f t="shared" si="2"/>
        <v>37361836444.177658</v>
      </c>
      <c r="Q27" s="526">
        <f t="shared" si="2"/>
        <v>1539349504</v>
      </c>
      <c r="R27" s="526">
        <f t="shared" si="2"/>
        <v>390559730831</v>
      </c>
      <c r="S27" s="526">
        <f t="shared" si="2"/>
        <v>486449982091.69208</v>
      </c>
      <c r="T27" s="526">
        <f t="shared" si="2"/>
        <v>47429009736</v>
      </c>
      <c r="U27" s="526">
        <f t="shared" si="2"/>
        <v>43335037180.603951</v>
      </c>
      <c r="V27" s="526">
        <f>+SUM(V10:V26)</f>
        <v>3954533886.3211474</v>
      </c>
      <c r="W27" s="526" t="s">
        <v>19</v>
      </c>
      <c r="X27" s="478"/>
      <c r="Y27" s="479"/>
      <c r="Z27" s="479"/>
      <c r="AA27" s="479"/>
      <c r="AB27" s="479"/>
      <c r="AC27" s="479"/>
      <c r="AD27" s="479"/>
      <c r="AE27" s="479"/>
      <c r="AF27" s="479"/>
      <c r="AG27" s="479"/>
      <c r="AH27" s="479"/>
      <c r="AI27" s="479"/>
      <c r="AJ27" s="479"/>
      <c r="AK27" s="479"/>
      <c r="AL27" s="479"/>
      <c r="AM27" s="479"/>
      <c r="AN27" s="479"/>
      <c r="AO27" s="479"/>
      <c r="AP27" s="479"/>
      <c r="AQ27" s="479"/>
      <c r="AR27" s="479"/>
      <c r="AS27" s="479"/>
      <c r="AT27" s="479"/>
      <c r="AU27" s="479"/>
      <c r="AV27" s="479"/>
      <c r="AW27" s="479"/>
      <c r="AX27" s="479"/>
      <c r="AY27" s="479"/>
      <c r="AZ27" s="479"/>
      <c r="BA27" s="479"/>
      <c r="BB27" s="479"/>
      <c r="BC27" s="479"/>
      <c r="BD27" s="479"/>
      <c r="BE27" s="479"/>
      <c r="BF27" s="479"/>
      <c r="BG27" s="479"/>
      <c r="BH27" s="479"/>
      <c r="BI27" s="479"/>
      <c r="BJ27" s="479"/>
      <c r="BK27" s="479"/>
      <c r="BL27" s="479"/>
      <c r="BM27" s="479"/>
      <c r="BN27" s="479"/>
      <c r="BO27" s="479"/>
      <c r="BP27" s="479"/>
      <c r="BQ27" s="479"/>
      <c r="BR27" s="479"/>
      <c r="BS27" s="479"/>
      <c r="BT27" s="479"/>
      <c r="BU27" s="479"/>
      <c r="BV27" s="479"/>
      <c r="BW27" s="479"/>
      <c r="BX27" s="479"/>
      <c r="BY27" s="479"/>
      <c r="BZ27" s="479"/>
      <c r="CA27" s="479"/>
      <c r="CB27" s="479"/>
      <c r="CC27" s="479"/>
    </row>
    <row r="28" spans="1:81" ht="48.75" customHeight="1" x14ac:dyDescent="0.3">
      <c r="A28" s="719">
        <f>+G23+L23+N23+O23+P23+Q23+U23-S25+G22</f>
        <v>233640670433.58185</v>
      </c>
      <c r="G28" s="766"/>
      <c r="H28" s="480"/>
      <c r="I28" s="479"/>
      <c r="J28" s="479"/>
      <c r="K28" s="479"/>
      <c r="L28" s="479"/>
      <c r="M28" s="479"/>
      <c r="N28" s="479"/>
      <c r="O28" s="479"/>
      <c r="P28" s="480"/>
      <c r="Q28" s="480"/>
      <c r="R28" s="480"/>
      <c r="S28" s="480"/>
      <c r="T28" s="480"/>
      <c r="U28" s="480"/>
      <c r="V28" s="480"/>
      <c r="W28" s="481">
        <f>+SUM(W10:W26)-SUM(F27:V27)</f>
        <v>0</v>
      </c>
      <c r="X28" s="478"/>
      <c r="Y28" s="479"/>
      <c r="Z28" s="479"/>
      <c r="AA28" s="479"/>
      <c r="AB28" s="479"/>
      <c r="AC28" s="479"/>
      <c r="AD28" s="479"/>
      <c r="AE28" s="479"/>
      <c r="AF28" s="479"/>
      <c r="AG28" s="479"/>
      <c r="AH28" s="479"/>
      <c r="AI28" s="479"/>
      <c r="AJ28" s="479"/>
      <c r="AK28" s="479"/>
      <c r="AL28" s="479"/>
      <c r="AM28" s="479"/>
      <c r="AN28" s="479"/>
      <c r="AO28" s="479"/>
      <c r="AP28" s="479"/>
      <c r="AQ28" s="479"/>
      <c r="AR28" s="479"/>
      <c r="AS28" s="479"/>
      <c r="AT28" s="479"/>
      <c r="AU28" s="479"/>
      <c r="AV28" s="479"/>
      <c r="AW28" s="479"/>
      <c r="AX28" s="479"/>
      <c r="AY28" s="479"/>
      <c r="AZ28" s="479"/>
      <c r="BA28" s="479"/>
      <c r="BB28" s="479"/>
      <c r="BC28" s="479"/>
      <c r="BD28" s="479"/>
      <c r="BE28" s="479"/>
      <c r="BF28" s="479"/>
      <c r="BG28" s="479"/>
      <c r="BH28" s="479"/>
      <c r="BI28" s="479"/>
      <c r="BJ28" s="479"/>
      <c r="BK28" s="479"/>
      <c r="BL28" s="479"/>
      <c r="BM28" s="479"/>
      <c r="BN28" s="479"/>
      <c r="BO28" s="479"/>
      <c r="BP28" s="479"/>
      <c r="BQ28" s="479"/>
      <c r="BR28" s="479"/>
      <c r="BS28" s="479"/>
      <c r="BT28" s="479"/>
      <c r="BU28" s="479"/>
      <c r="BV28" s="479"/>
      <c r="BW28" s="479"/>
      <c r="BX28" s="479"/>
      <c r="BY28" s="479"/>
      <c r="BZ28" s="479"/>
      <c r="CA28" s="479"/>
      <c r="CB28" s="479"/>
      <c r="CC28" s="479"/>
    </row>
    <row r="29" spans="1:81" ht="60" customHeight="1" x14ac:dyDescent="0.3">
      <c r="G29" s="480"/>
      <c r="H29" s="479"/>
      <c r="I29" s="479"/>
      <c r="J29" s="479"/>
      <c r="K29" s="479"/>
      <c r="L29" s="479"/>
      <c r="M29" s="479"/>
      <c r="N29" s="479"/>
      <c r="O29" s="479"/>
      <c r="P29" s="479"/>
      <c r="Q29" s="479"/>
      <c r="R29" s="479"/>
      <c r="S29" s="479"/>
      <c r="T29" s="479"/>
      <c r="U29" s="480"/>
      <c r="V29" s="480"/>
      <c r="W29" s="480"/>
      <c r="X29" s="478"/>
      <c r="Y29" s="479"/>
      <c r="Z29" s="479"/>
      <c r="AA29" s="479"/>
      <c r="AB29" s="479"/>
      <c r="AC29" s="479"/>
      <c r="AD29" s="479"/>
      <c r="AE29" s="479"/>
      <c r="AF29" s="479"/>
      <c r="AG29" s="479"/>
      <c r="AH29" s="479"/>
      <c r="AI29" s="479"/>
      <c r="AJ29" s="479"/>
      <c r="AK29" s="479"/>
      <c r="AL29" s="479"/>
      <c r="AM29" s="479"/>
      <c r="AN29" s="479"/>
      <c r="AO29" s="479"/>
      <c r="AP29" s="479"/>
      <c r="AQ29" s="479"/>
      <c r="AR29" s="479"/>
      <c r="AS29" s="479"/>
      <c r="AT29" s="479"/>
      <c r="AU29" s="479"/>
      <c r="AV29" s="479"/>
      <c r="AW29" s="479"/>
      <c r="AX29" s="479"/>
      <c r="AY29" s="479"/>
      <c r="AZ29" s="479"/>
      <c r="BA29" s="479"/>
      <c r="BB29" s="479"/>
      <c r="BC29" s="479"/>
      <c r="BD29" s="479"/>
      <c r="BE29" s="479"/>
      <c r="BF29" s="479"/>
      <c r="BG29" s="479"/>
      <c r="BH29" s="479"/>
      <c r="BI29" s="479"/>
      <c r="BJ29" s="479"/>
      <c r="BK29" s="479"/>
      <c r="BL29" s="479"/>
      <c r="BM29" s="479"/>
      <c r="BN29" s="479"/>
      <c r="BO29" s="479"/>
      <c r="BP29" s="479"/>
      <c r="BQ29" s="479"/>
      <c r="BR29" s="479"/>
      <c r="BS29" s="479"/>
      <c r="BT29" s="479"/>
      <c r="BU29" s="479"/>
      <c r="BV29" s="479"/>
      <c r="BW29" s="479"/>
      <c r="BX29" s="479"/>
      <c r="BY29" s="479"/>
      <c r="BZ29" s="479"/>
      <c r="CA29" s="479"/>
      <c r="CB29" s="479"/>
      <c r="CC29" s="479"/>
    </row>
    <row r="30" spans="1:81" ht="60" customHeight="1" x14ac:dyDescent="0.3">
      <c r="G30" s="482">
        <f>++('[3]balanza de pagos'!O19+'[3]balanza de pagos'!O23+'[3]balanza de pagos'!O28+'[3]balanza de pagos'!O32)*'[3]balanza de pagos'!$O$51*1000000</f>
        <v>3553184222.7486286</v>
      </c>
      <c r="H30" s="483" t="s">
        <v>208</v>
      </c>
      <c r="I30" s="482">
        <f>++'[3]opr. gob. gen. y sector no fin.'!E21*1000000</f>
        <v>3495266000</v>
      </c>
      <c r="J30" s="483" t="s">
        <v>280</v>
      </c>
      <c r="K30" s="483"/>
      <c r="L30" s="477" t="s">
        <v>531</v>
      </c>
      <c r="M30" s="478"/>
      <c r="N30" s="478"/>
      <c r="O30" s="478"/>
      <c r="P30" s="479"/>
      <c r="Q30" s="479"/>
      <c r="R30" s="479"/>
      <c r="S30" s="479"/>
      <c r="T30" s="479"/>
      <c r="U30" s="479"/>
      <c r="V30" s="479"/>
      <c r="W30" s="479"/>
      <c r="X30" s="478"/>
      <c r="Y30" s="479"/>
      <c r="Z30" s="479"/>
      <c r="AA30" s="479"/>
      <c r="AB30" s="479"/>
      <c r="AC30" s="479"/>
      <c r="AD30" s="479"/>
      <c r="AE30" s="479"/>
      <c r="AF30" s="479"/>
      <c r="AG30" s="479"/>
      <c r="AH30" s="479"/>
      <c r="AI30" s="479"/>
      <c r="AJ30" s="479"/>
      <c r="AK30" s="479"/>
      <c r="AL30" s="479"/>
      <c r="AM30" s="479"/>
      <c r="AN30" s="479"/>
      <c r="AO30" s="479"/>
      <c r="AP30" s="479"/>
      <c r="AQ30" s="479"/>
      <c r="AR30" s="479"/>
      <c r="AS30" s="479"/>
      <c r="AT30" s="479"/>
      <c r="AU30" s="479"/>
      <c r="AV30" s="479"/>
      <c r="AW30" s="479"/>
      <c r="AX30" s="479"/>
      <c r="AY30" s="479"/>
      <c r="AZ30" s="479"/>
      <c r="BA30" s="479"/>
      <c r="BB30" s="479"/>
      <c r="BC30" s="479"/>
      <c r="BD30" s="479"/>
      <c r="BE30" s="479"/>
      <c r="BF30" s="479"/>
      <c r="BG30" s="479"/>
      <c r="BH30" s="479"/>
      <c r="BI30" s="479"/>
      <c r="BJ30" s="479"/>
      <c r="BK30" s="479"/>
      <c r="BL30" s="479"/>
      <c r="BM30" s="479"/>
      <c r="BN30" s="479"/>
      <c r="BO30" s="479"/>
      <c r="BP30" s="479"/>
      <c r="BQ30" s="479"/>
      <c r="BR30" s="479"/>
      <c r="BS30" s="479"/>
      <c r="BT30" s="479"/>
      <c r="BU30" s="479"/>
      <c r="BV30" s="479"/>
      <c r="BW30" s="479"/>
      <c r="BX30" s="479"/>
      <c r="BY30" s="479"/>
      <c r="BZ30" s="479"/>
      <c r="CA30" s="479"/>
      <c r="CB30" s="479"/>
      <c r="CC30" s="479"/>
    </row>
    <row r="31" spans="1:81" x14ac:dyDescent="0.3">
      <c r="G31" s="479"/>
      <c r="H31" s="483" t="s">
        <v>532</v>
      </c>
      <c r="I31" s="484"/>
      <c r="J31" s="484"/>
      <c r="K31" s="484"/>
      <c r="L31" s="479"/>
      <c r="M31" s="479"/>
      <c r="N31" s="479"/>
      <c r="O31" s="479"/>
      <c r="P31" s="479"/>
      <c r="Q31" s="479"/>
      <c r="R31" s="479"/>
      <c r="S31" s="479"/>
      <c r="T31" s="479"/>
      <c r="U31" s="479"/>
      <c r="V31" s="479"/>
      <c r="W31" s="479"/>
      <c r="X31" s="478"/>
      <c r="Y31" s="479"/>
      <c r="Z31" s="479"/>
      <c r="AA31" s="479"/>
      <c r="AB31" s="479"/>
      <c r="AC31" s="479"/>
      <c r="AD31" s="479"/>
      <c r="AE31" s="479"/>
      <c r="AF31" s="479"/>
      <c r="AG31" s="479"/>
      <c r="AH31" s="479"/>
      <c r="AI31" s="479"/>
      <c r="AJ31" s="479"/>
      <c r="AK31" s="479"/>
      <c r="AL31" s="479"/>
      <c r="AM31" s="479"/>
      <c r="AN31" s="479"/>
      <c r="AO31" s="479"/>
      <c r="AP31" s="479"/>
      <c r="AQ31" s="479"/>
      <c r="AR31" s="479"/>
      <c r="AS31" s="479"/>
      <c r="AT31" s="479"/>
      <c r="AU31" s="479"/>
      <c r="AV31" s="479"/>
      <c r="AW31" s="479"/>
      <c r="AX31" s="479"/>
      <c r="AY31" s="479"/>
      <c r="AZ31" s="479"/>
      <c r="BA31" s="479"/>
      <c r="BB31" s="479"/>
      <c r="BC31" s="479"/>
      <c r="BD31" s="479"/>
      <c r="BE31" s="479"/>
      <c r="BF31" s="479"/>
      <c r="BG31" s="479"/>
      <c r="BH31" s="479"/>
      <c r="BI31" s="479"/>
      <c r="BJ31" s="479"/>
      <c r="BK31" s="479"/>
      <c r="BL31" s="479"/>
      <c r="BM31" s="479"/>
      <c r="BN31" s="479"/>
      <c r="BO31" s="479"/>
      <c r="BP31" s="479"/>
      <c r="BQ31" s="479"/>
      <c r="BR31" s="479"/>
      <c r="BS31" s="479"/>
      <c r="BT31" s="479"/>
      <c r="BU31" s="479"/>
      <c r="BV31" s="479"/>
      <c r="BW31" s="479"/>
      <c r="BX31" s="479"/>
      <c r="BY31" s="479"/>
      <c r="BZ31" s="479"/>
      <c r="CA31" s="479"/>
      <c r="CB31" s="479"/>
      <c r="CC31" s="479"/>
    </row>
    <row r="32" spans="1:81" x14ac:dyDescent="0.3">
      <c r="G32" s="479"/>
      <c r="H32" s="479"/>
      <c r="I32" s="479"/>
      <c r="J32" s="479"/>
      <c r="K32" s="479"/>
      <c r="L32" s="479"/>
      <c r="M32" s="479"/>
      <c r="N32" s="479"/>
      <c r="O32" s="479"/>
      <c r="P32" s="479"/>
      <c r="Q32" s="479"/>
      <c r="R32" s="479"/>
      <c r="S32" s="479"/>
      <c r="T32" s="479"/>
      <c r="U32" s="479"/>
      <c r="V32" s="479"/>
      <c r="W32" s="479"/>
      <c r="X32" s="478"/>
      <c r="Y32" s="479"/>
      <c r="Z32" s="479"/>
      <c r="AA32" s="479"/>
      <c r="AB32" s="479"/>
      <c r="AC32" s="479"/>
      <c r="AD32" s="479"/>
      <c r="AE32" s="479"/>
      <c r="AF32" s="479"/>
      <c r="AG32" s="479"/>
      <c r="AH32" s="479"/>
      <c r="AI32" s="479"/>
      <c r="AJ32" s="479"/>
      <c r="AK32" s="479"/>
      <c r="AL32" s="479"/>
      <c r="AM32" s="479"/>
      <c r="AN32" s="479"/>
      <c r="AO32" s="479"/>
      <c r="AP32" s="479"/>
      <c r="AQ32" s="479"/>
      <c r="AR32" s="479"/>
      <c r="AS32" s="479"/>
      <c r="AT32" s="479"/>
      <c r="AU32" s="479"/>
      <c r="AV32" s="479"/>
      <c r="AW32" s="479"/>
      <c r="AX32" s="479"/>
      <c r="AY32" s="479"/>
      <c r="AZ32" s="479"/>
      <c r="BA32" s="479"/>
      <c r="BB32" s="479"/>
      <c r="BC32" s="479"/>
      <c r="BD32" s="479"/>
      <c r="BE32" s="479"/>
      <c r="BF32" s="479"/>
      <c r="BG32" s="479"/>
      <c r="BH32" s="479"/>
      <c r="BI32" s="479"/>
      <c r="BJ32" s="479"/>
      <c r="BK32" s="479"/>
      <c r="BL32" s="479"/>
      <c r="BM32" s="479"/>
      <c r="BN32" s="479"/>
      <c r="BO32" s="479"/>
      <c r="BP32" s="479"/>
      <c r="BQ32" s="479"/>
      <c r="BR32" s="479"/>
      <c r="BS32" s="479"/>
      <c r="BT32" s="479"/>
      <c r="BU32" s="479"/>
      <c r="BV32" s="479"/>
      <c r="BW32" s="479"/>
      <c r="BX32" s="479"/>
      <c r="BY32" s="479"/>
      <c r="BZ32" s="479"/>
      <c r="CA32" s="479"/>
      <c r="CB32" s="479"/>
      <c r="CC32" s="479"/>
    </row>
    <row r="33" spans="7:81" x14ac:dyDescent="0.3">
      <c r="G33" s="479"/>
      <c r="H33" s="479"/>
      <c r="I33" s="479"/>
      <c r="J33" s="479"/>
      <c r="K33" s="479"/>
      <c r="L33" s="479"/>
      <c r="M33" s="479"/>
      <c r="N33" s="479"/>
      <c r="O33" s="479"/>
      <c r="P33" s="479"/>
      <c r="Q33" s="479"/>
      <c r="R33" s="479"/>
      <c r="S33" s="479"/>
      <c r="T33" s="479"/>
      <c r="U33" s="479"/>
      <c r="V33" s="479"/>
      <c r="W33" s="479"/>
      <c r="X33" s="478"/>
      <c r="Y33" s="479"/>
      <c r="Z33" s="479"/>
      <c r="AA33" s="479"/>
      <c r="AB33" s="479"/>
      <c r="AC33" s="479"/>
      <c r="AD33" s="479"/>
      <c r="AE33" s="479"/>
      <c r="AF33" s="479"/>
      <c r="AG33" s="479"/>
      <c r="AH33" s="479"/>
      <c r="AI33" s="479"/>
      <c r="AJ33" s="479"/>
      <c r="AK33" s="479"/>
      <c r="AL33" s="479"/>
      <c r="AM33" s="479"/>
      <c r="AN33" s="479"/>
      <c r="AO33" s="479"/>
      <c r="AP33" s="479"/>
      <c r="AQ33" s="479"/>
      <c r="AR33" s="479"/>
      <c r="AS33" s="479"/>
      <c r="AT33" s="479"/>
      <c r="AU33" s="479"/>
      <c r="AV33" s="479"/>
      <c r="AW33" s="479"/>
      <c r="AX33" s="479"/>
      <c r="AY33" s="479"/>
      <c r="AZ33" s="479"/>
      <c r="BA33" s="479"/>
      <c r="BB33" s="479"/>
      <c r="BC33" s="479"/>
      <c r="BD33" s="479"/>
      <c r="BE33" s="479"/>
      <c r="BF33" s="479"/>
      <c r="BG33" s="479"/>
      <c r="BH33" s="479"/>
      <c r="BI33" s="479"/>
      <c r="BJ33" s="479"/>
      <c r="BK33" s="479"/>
      <c r="BL33" s="479"/>
      <c r="BM33" s="479"/>
      <c r="BN33" s="479"/>
      <c r="BO33" s="479"/>
      <c r="BP33" s="479"/>
      <c r="BQ33" s="479"/>
      <c r="BR33" s="479"/>
      <c r="BS33" s="479"/>
      <c r="BT33" s="479"/>
      <c r="BU33" s="479"/>
      <c r="BV33" s="479"/>
      <c r="BW33" s="479"/>
      <c r="BX33" s="479"/>
      <c r="BY33" s="479"/>
      <c r="BZ33" s="479"/>
      <c r="CA33" s="479"/>
      <c r="CB33" s="479"/>
      <c r="CC33" s="479"/>
    </row>
    <row r="34" spans="7:81" x14ac:dyDescent="0.3">
      <c r="G34" s="479"/>
      <c r="H34" s="479"/>
      <c r="I34" s="479"/>
      <c r="J34" s="479"/>
      <c r="K34" s="479"/>
      <c r="L34" s="479"/>
      <c r="M34" s="479"/>
      <c r="N34" s="479"/>
      <c r="O34" s="479"/>
      <c r="P34" s="479"/>
      <c r="Q34" s="479"/>
      <c r="R34" s="479"/>
      <c r="S34" s="479"/>
      <c r="T34" s="479"/>
      <c r="U34" s="479"/>
      <c r="V34" s="479"/>
      <c r="W34" s="479"/>
      <c r="X34" s="478"/>
      <c r="Y34" s="479"/>
      <c r="Z34" s="479"/>
      <c r="AA34" s="479"/>
      <c r="AB34" s="479"/>
      <c r="AC34" s="479"/>
      <c r="AD34" s="479"/>
      <c r="AE34" s="479"/>
      <c r="AF34" s="479"/>
      <c r="AG34" s="479"/>
      <c r="AH34" s="479"/>
      <c r="AI34" s="479"/>
      <c r="AJ34" s="479"/>
      <c r="AK34" s="479"/>
      <c r="AL34" s="479"/>
      <c r="AM34" s="479"/>
      <c r="AN34" s="479"/>
      <c r="AO34" s="479"/>
      <c r="AP34" s="479"/>
      <c r="AQ34" s="479"/>
      <c r="AR34" s="479"/>
      <c r="AS34" s="479"/>
      <c r="AT34" s="479"/>
      <c r="AU34" s="479"/>
      <c r="AV34" s="479"/>
      <c r="AW34" s="479"/>
      <c r="AX34" s="479"/>
      <c r="AY34" s="479"/>
      <c r="AZ34" s="479"/>
      <c r="BA34" s="479"/>
      <c r="BB34" s="479"/>
      <c r="BC34" s="479"/>
      <c r="BD34" s="479"/>
      <c r="BE34" s="479"/>
      <c r="BF34" s="479"/>
      <c r="BG34" s="479"/>
      <c r="BH34" s="479"/>
      <c r="BI34" s="479"/>
      <c r="BJ34" s="479"/>
      <c r="BK34" s="479"/>
      <c r="BL34" s="479"/>
      <c r="BM34" s="479"/>
      <c r="BN34" s="479"/>
      <c r="BO34" s="479"/>
      <c r="BP34" s="479"/>
      <c r="BQ34" s="479"/>
      <c r="BR34" s="479"/>
      <c r="BS34" s="479"/>
      <c r="BT34" s="479"/>
      <c r="BU34" s="479"/>
      <c r="BV34" s="479"/>
      <c r="BW34" s="479"/>
      <c r="BX34" s="479"/>
      <c r="BY34" s="479"/>
      <c r="BZ34" s="479"/>
      <c r="CA34" s="479"/>
      <c r="CB34" s="479"/>
      <c r="CC34" s="479"/>
    </row>
    <row r="35" spans="7:81" x14ac:dyDescent="0.3">
      <c r="G35" s="479"/>
      <c r="H35" s="479"/>
      <c r="I35" s="479"/>
      <c r="J35" s="479"/>
      <c r="K35" s="479"/>
      <c r="L35" s="479"/>
      <c r="M35" s="479"/>
      <c r="N35" s="479"/>
      <c r="O35" s="479"/>
      <c r="P35" s="479"/>
      <c r="Q35" s="479"/>
      <c r="R35" s="479"/>
      <c r="S35" s="479"/>
      <c r="T35" s="479"/>
      <c r="U35" s="479"/>
      <c r="V35" s="479"/>
      <c r="W35" s="479"/>
      <c r="X35" s="478"/>
      <c r="Y35" s="479"/>
      <c r="Z35" s="479"/>
      <c r="AA35" s="479"/>
      <c r="AB35" s="479"/>
      <c r="AC35" s="479"/>
      <c r="AD35" s="479"/>
      <c r="AE35" s="479"/>
      <c r="AF35" s="479"/>
      <c r="AG35" s="479"/>
      <c r="AH35" s="479"/>
      <c r="AI35" s="479"/>
      <c r="AJ35" s="479"/>
      <c r="AK35" s="479"/>
      <c r="AL35" s="479"/>
      <c r="AM35" s="479"/>
      <c r="AN35" s="479"/>
      <c r="AO35" s="479"/>
      <c r="AP35" s="479"/>
      <c r="AQ35" s="479"/>
      <c r="AR35" s="479"/>
      <c r="AS35" s="479"/>
      <c r="AT35" s="479"/>
      <c r="AU35" s="479"/>
      <c r="AV35" s="479"/>
      <c r="AW35" s="479"/>
      <c r="AX35" s="479"/>
      <c r="AY35" s="479"/>
      <c r="AZ35" s="479"/>
      <c r="BA35" s="479"/>
      <c r="BB35" s="479"/>
      <c r="BC35" s="479"/>
      <c r="BD35" s="479"/>
      <c r="BE35" s="479"/>
      <c r="BF35" s="479"/>
      <c r="BG35" s="479"/>
      <c r="BH35" s="479"/>
      <c r="BI35" s="479"/>
      <c r="BJ35" s="479"/>
      <c r="BK35" s="479"/>
      <c r="BL35" s="479"/>
      <c r="BM35" s="479"/>
      <c r="BN35" s="479"/>
      <c r="BO35" s="479"/>
      <c r="BP35" s="479"/>
      <c r="BQ35" s="479"/>
      <c r="BR35" s="479"/>
      <c r="BS35" s="479"/>
      <c r="BT35" s="479"/>
      <c r="BU35" s="479"/>
      <c r="BV35" s="479"/>
      <c r="BW35" s="479"/>
      <c r="BX35" s="479"/>
      <c r="BY35" s="479"/>
      <c r="BZ35" s="479"/>
      <c r="CA35" s="479"/>
      <c r="CB35" s="479"/>
      <c r="CC35" s="479"/>
    </row>
    <row r="36" spans="7:81" x14ac:dyDescent="0.3">
      <c r="G36" s="479"/>
      <c r="H36" s="479"/>
      <c r="I36" s="479"/>
      <c r="J36" s="479"/>
      <c r="K36" s="479"/>
      <c r="L36" s="479"/>
      <c r="M36" s="479"/>
      <c r="N36" s="479"/>
      <c r="O36" s="479"/>
      <c r="P36" s="479"/>
      <c r="Q36" s="479"/>
      <c r="R36" s="479"/>
      <c r="S36" s="479"/>
      <c r="T36" s="479"/>
      <c r="U36" s="479"/>
      <c r="V36" s="479"/>
      <c r="W36" s="479"/>
      <c r="X36" s="478"/>
      <c r="Y36" s="479"/>
      <c r="Z36" s="479"/>
      <c r="AA36" s="479"/>
      <c r="AB36" s="479"/>
      <c r="AC36" s="479"/>
      <c r="AD36" s="479"/>
      <c r="AE36" s="479"/>
      <c r="AF36" s="479"/>
      <c r="AG36" s="479"/>
      <c r="AH36" s="479"/>
      <c r="AI36" s="479"/>
      <c r="AJ36" s="479"/>
      <c r="AK36" s="479"/>
      <c r="AL36" s="479"/>
      <c r="AM36" s="479"/>
      <c r="AN36" s="479"/>
      <c r="AO36" s="479"/>
      <c r="AP36" s="479"/>
      <c r="AQ36" s="479"/>
      <c r="AR36" s="479"/>
      <c r="AS36" s="479"/>
      <c r="AT36" s="479"/>
      <c r="AU36" s="479"/>
      <c r="AV36" s="479"/>
      <c r="AW36" s="479"/>
      <c r="AX36" s="479"/>
      <c r="AY36" s="479"/>
      <c r="AZ36" s="479"/>
      <c r="BA36" s="479"/>
      <c r="BB36" s="479"/>
      <c r="BC36" s="479"/>
      <c r="BD36" s="479"/>
      <c r="BE36" s="479"/>
      <c r="BF36" s="479"/>
      <c r="BG36" s="479"/>
      <c r="BH36" s="479"/>
      <c r="BI36" s="479"/>
      <c r="BJ36" s="479"/>
      <c r="BK36" s="479"/>
      <c r="BL36" s="479"/>
      <c r="BM36" s="479"/>
      <c r="BN36" s="479"/>
      <c r="BO36" s="479"/>
      <c r="BP36" s="479"/>
      <c r="BQ36" s="479"/>
      <c r="BR36" s="479"/>
      <c r="BS36" s="479"/>
      <c r="BT36" s="479"/>
      <c r="BU36" s="479"/>
      <c r="BV36" s="479"/>
      <c r="BW36" s="479"/>
      <c r="BX36" s="479"/>
      <c r="BY36" s="479"/>
      <c r="BZ36" s="479"/>
      <c r="CA36" s="479"/>
      <c r="CB36" s="479"/>
      <c r="CC36" s="479"/>
    </row>
    <row r="37" spans="7:81" x14ac:dyDescent="0.3">
      <c r="G37" s="479"/>
      <c r="H37" s="479"/>
      <c r="I37" s="479"/>
      <c r="J37" s="479"/>
      <c r="K37" s="479"/>
      <c r="L37" s="479"/>
      <c r="M37" s="479"/>
      <c r="N37" s="479"/>
      <c r="O37" s="479"/>
      <c r="P37" s="479"/>
      <c r="Q37" s="479"/>
      <c r="R37" s="479"/>
      <c r="S37" s="479"/>
      <c r="T37" s="479"/>
      <c r="U37" s="479"/>
      <c r="V37" s="479"/>
      <c r="W37" s="479"/>
      <c r="X37" s="478"/>
      <c r="Y37" s="479"/>
      <c r="Z37" s="479"/>
      <c r="AA37" s="479"/>
      <c r="AB37" s="479"/>
      <c r="AC37" s="479"/>
      <c r="AD37" s="479"/>
      <c r="AE37" s="479"/>
      <c r="AF37" s="479"/>
      <c r="AG37" s="479"/>
      <c r="AH37" s="479"/>
      <c r="AI37" s="479"/>
      <c r="AJ37" s="479"/>
      <c r="AK37" s="479"/>
      <c r="AL37" s="479"/>
      <c r="AM37" s="479"/>
      <c r="AN37" s="479"/>
      <c r="AO37" s="479"/>
      <c r="AP37" s="479"/>
      <c r="AQ37" s="479"/>
      <c r="AR37" s="479"/>
      <c r="AS37" s="479"/>
      <c r="AT37" s="479"/>
      <c r="AU37" s="479"/>
      <c r="AV37" s="479"/>
      <c r="AW37" s="479"/>
      <c r="AX37" s="479"/>
      <c r="AY37" s="479"/>
      <c r="AZ37" s="479"/>
      <c r="BA37" s="479"/>
      <c r="BB37" s="479"/>
      <c r="BC37" s="479"/>
      <c r="BD37" s="479"/>
      <c r="BE37" s="479"/>
      <c r="BF37" s="479"/>
      <c r="BG37" s="479"/>
      <c r="BH37" s="479"/>
      <c r="BI37" s="479"/>
      <c r="BJ37" s="479"/>
      <c r="BK37" s="479"/>
      <c r="BL37" s="479"/>
      <c r="BM37" s="479"/>
      <c r="BN37" s="479"/>
      <c r="BO37" s="479"/>
      <c r="BP37" s="479"/>
      <c r="BQ37" s="479"/>
      <c r="BR37" s="479"/>
      <c r="BS37" s="479"/>
      <c r="BT37" s="479"/>
      <c r="BU37" s="479"/>
      <c r="BV37" s="479"/>
      <c r="BW37" s="479"/>
      <c r="BX37" s="479"/>
      <c r="BY37" s="479"/>
      <c r="BZ37" s="479"/>
      <c r="CA37" s="479"/>
      <c r="CB37" s="479"/>
      <c r="CC37" s="479"/>
    </row>
    <row r="38" spans="7:81" x14ac:dyDescent="0.3">
      <c r="G38" s="479"/>
      <c r="H38" s="479"/>
      <c r="I38" s="479"/>
      <c r="J38" s="479"/>
      <c r="K38" s="479"/>
      <c r="L38" s="479"/>
      <c r="M38" s="479"/>
      <c r="N38" s="479"/>
      <c r="O38" s="479"/>
      <c r="P38" s="479"/>
      <c r="Q38" s="479"/>
      <c r="R38" s="479"/>
      <c r="S38" s="479"/>
      <c r="T38" s="479"/>
      <c r="U38" s="479"/>
      <c r="V38" s="479"/>
      <c r="W38" s="479"/>
      <c r="X38" s="478"/>
      <c r="Y38" s="479"/>
      <c r="Z38" s="479"/>
      <c r="AA38" s="479"/>
      <c r="AB38" s="479"/>
      <c r="AC38" s="479"/>
      <c r="AD38" s="479"/>
      <c r="AE38" s="479"/>
      <c r="AF38" s="479"/>
      <c r="AG38" s="479"/>
      <c r="AH38" s="479"/>
      <c r="AI38" s="479"/>
      <c r="AJ38" s="479"/>
      <c r="AK38" s="479"/>
      <c r="AL38" s="479"/>
      <c r="AM38" s="479"/>
      <c r="AN38" s="479"/>
      <c r="AO38" s="479"/>
      <c r="AP38" s="479"/>
      <c r="AQ38" s="479"/>
      <c r="AR38" s="479"/>
      <c r="AS38" s="479"/>
      <c r="AT38" s="479"/>
      <c r="AU38" s="479"/>
      <c r="AV38" s="479"/>
      <c r="AW38" s="479"/>
      <c r="AX38" s="479"/>
      <c r="AY38" s="479"/>
      <c r="AZ38" s="479"/>
      <c r="BA38" s="479"/>
      <c r="BB38" s="479"/>
      <c r="BC38" s="479"/>
      <c r="BD38" s="479"/>
      <c r="BE38" s="479"/>
      <c r="BF38" s="479"/>
      <c r="BG38" s="479"/>
      <c r="BH38" s="479"/>
      <c r="BI38" s="479"/>
      <c r="BJ38" s="479"/>
      <c r="BK38" s="479"/>
      <c r="BL38" s="479"/>
      <c r="BM38" s="479"/>
      <c r="BN38" s="479"/>
      <c r="BO38" s="479"/>
      <c r="BP38" s="479"/>
      <c r="BQ38" s="479"/>
      <c r="BR38" s="479"/>
      <c r="BS38" s="479"/>
      <c r="BT38" s="479"/>
      <c r="BU38" s="479"/>
      <c r="BV38" s="479"/>
      <c r="BW38" s="479"/>
      <c r="BX38" s="479"/>
      <c r="BY38" s="479"/>
      <c r="BZ38" s="479"/>
      <c r="CA38" s="479"/>
      <c r="CB38" s="479"/>
      <c r="CC38" s="479"/>
    </row>
    <row r="39" spans="7:81" x14ac:dyDescent="0.3"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479"/>
      <c r="R39" s="479"/>
      <c r="S39" s="479"/>
      <c r="T39" s="479"/>
      <c r="U39" s="479"/>
      <c r="V39" s="479"/>
      <c r="W39" s="479"/>
      <c r="X39" s="478"/>
      <c r="Y39" s="479"/>
      <c r="Z39" s="479"/>
      <c r="AA39" s="479"/>
      <c r="AB39" s="479"/>
      <c r="AC39" s="479"/>
      <c r="AD39" s="479"/>
      <c r="AE39" s="479"/>
      <c r="AF39" s="479"/>
      <c r="AG39" s="479"/>
      <c r="AH39" s="479"/>
      <c r="AI39" s="479"/>
      <c r="AJ39" s="479"/>
      <c r="AK39" s="479"/>
      <c r="AL39" s="479"/>
      <c r="AM39" s="479"/>
      <c r="AN39" s="479"/>
      <c r="AO39" s="479"/>
      <c r="AP39" s="479"/>
      <c r="AQ39" s="479"/>
      <c r="AR39" s="479"/>
      <c r="AS39" s="479"/>
      <c r="AT39" s="479"/>
      <c r="AU39" s="479"/>
      <c r="AV39" s="479"/>
      <c r="AW39" s="479"/>
      <c r="AX39" s="479"/>
      <c r="AY39" s="479"/>
      <c r="AZ39" s="479"/>
      <c r="BA39" s="479"/>
      <c r="BB39" s="479"/>
      <c r="BC39" s="479"/>
      <c r="BD39" s="479"/>
      <c r="BE39" s="479"/>
      <c r="BF39" s="479"/>
      <c r="BG39" s="479"/>
      <c r="BH39" s="479"/>
      <c r="BI39" s="479"/>
      <c r="BJ39" s="479"/>
      <c r="BK39" s="479"/>
      <c r="BL39" s="479"/>
      <c r="BM39" s="479"/>
      <c r="BN39" s="479"/>
      <c r="BO39" s="479"/>
      <c r="BP39" s="479"/>
      <c r="BQ39" s="479"/>
      <c r="BR39" s="479"/>
      <c r="BS39" s="479"/>
      <c r="BT39" s="479"/>
      <c r="BU39" s="479"/>
      <c r="BV39" s="479"/>
      <c r="BW39" s="479"/>
      <c r="BX39" s="479"/>
      <c r="BY39" s="479"/>
      <c r="BZ39" s="479"/>
      <c r="CA39" s="479"/>
      <c r="CB39" s="479"/>
      <c r="CC39" s="479"/>
    </row>
    <row r="40" spans="7:81" x14ac:dyDescent="0.3">
      <c r="G40" s="479"/>
      <c r="H40" s="479"/>
      <c r="I40" s="479"/>
      <c r="J40" s="479"/>
      <c r="K40" s="479"/>
      <c r="L40" s="479"/>
      <c r="M40" s="479"/>
      <c r="N40" s="479"/>
      <c r="O40" s="479"/>
      <c r="P40" s="479"/>
      <c r="Q40" s="479"/>
      <c r="R40" s="479"/>
      <c r="S40" s="479"/>
      <c r="T40" s="479"/>
      <c r="U40" s="479"/>
      <c r="V40" s="479"/>
      <c r="W40" s="479"/>
      <c r="X40" s="478"/>
      <c r="Y40" s="479"/>
      <c r="Z40" s="479"/>
      <c r="AA40" s="479"/>
      <c r="AB40" s="479"/>
      <c r="AC40" s="479"/>
      <c r="AD40" s="479"/>
      <c r="AE40" s="479"/>
      <c r="AF40" s="479"/>
      <c r="AG40" s="479"/>
      <c r="AH40" s="479"/>
      <c r="AI40" s="479"/>
      <c r="AJ40" s="479"/>
      <c r="AK40" s="479"/>
      <c r="AL40" s="479"/>
      <c r="AM40" s="479"/>
      <c r="AN40" s="479"/>
      <c r="AO40" s="479"/>
      <c r="AP40" s="479"/>
      <c r="AQ40" s="479"/>
      <c r="AR40" s="479"/>
      <c r="AS40" s="479"/>
      <c r="AT40" s="479"/>
      <c r="AU40" s="479"/>
      <c r="AV40" s="479"/>
      <c r="AW40" s="479"/>
      <c r="AX40" s="479"/>
      <c r="AY40" s="479"/>
      <c r="AZ40" s="479"/>
      <c r="BA40" s="479"/>
      <c r="BB40" s="479"/>
      <c r="BC40" s="479"/>
      <c r="BD40" s="479"/>
      <c r="BE40" s="479"/>
      <c r="BF40" s="479"/>
      <c r="BG40" s="479"/>
      <c r="BH40" s="479"/>
      <c r="BI40" s="479"/>
      <c r="BJ40" s="479"/>
      <c r="BK40" s="479"/>
      <c r="BL40" s="479"/>
      <c r="BM40" s="479"/>
      <c r="BN40" s="479"/>
      <c r="BO40" s="479"/>
      <c r="BP40" s="479"/>
      <c r="BQ40" s="479"/>
      <c r="BR40" s="479"/>
      <c r="BS40" s="479"/>
      <c r="BT40" s="479"/>
      <c r="BU40" s="479"/>
      <c r="BV40" s="479"/>
      <c r="BW40" s="479"/>
      <c r="BX40" s="479"/>
      <c r="BY40" s="479"/>
      <c r="BZ40" s="479"/>
      <c r="CA40" s="479"/>
      <c r="CB40" s="479"/>
      <c r="CC40" s="479"/>
    </row>
    <row r="41" spans="7:81" x14ac:dyDescent="0.3">
      <c r="G41" s="479"/>
      <c r="H41" s="479"/>
      <c r="I41" s="479"/>
      <c r="J41" s="479"/>
      <c r="K41" s="479"/>
      <c r="L41" s="479"/>
      <c r="M41" s="479"/>
      <c r="N41" s="479"/>
      <c r="O41" s="479"/>
      <c r="P41" s="479"/>
      <c r="Q41" s="479"/>
      <c r="R41" s="479"/>
      <c r="S41" s="479"/>
      <c r="T41" s="479"/>
      <c r="U41" s="479"/>
      <c r="V41" s="479"/>
      <c r="W41" s="479"/>
      <c r="X41" s="478"/>
      <c r="Y41" s="479"/>
      <c r="Z41" s="479"/>
      <c r="AA41" s="479"/>
      <c r="AB41" s="479"/>
      <c r="AC41" s="479"/>
      <c r="AD41" s="479"/>
      <c r="AE41" s="479"/>
      <c r="AF41" s="479"/>
      <c r="AG41" s="479"/>
      <c r="AH41" s="479"/>
      <c r="AI41" s="479"/>
      <c r="AJ41" s="479"/>
      <c r="AK41" s="479"/>
      <c r="AL41" s="479"/>
      <c r="AM41" s="479"/>
      <c r="AN41" s="479"/>
      <c r="AO41" s="479"/>
      <c r="AP41" s="479"/>
      <c r="AQ41" s="479"/>
      <c r="AR41" s="479"/>
      <c r="AS41" s="479"/>
      <c r="AT41" s="479"/>
      <c r="AU41" s="479"/>
      <c r="AV41" s="479"/>
      <c r="AW41" s="479"/>
      <c r="AX41" s="479"/>
      <c r="AY41" s="479"/>
      <c r="AZ41" s="479"/>
      <c r="BA41" s="479"/>
      <c r="BB41" s="479"/>
      <c r="BC41" s="479"/>
      <c r="BD41" s="479"/>
      <c r="BE41" s="479"/>
      <c r="BF41" s="479"/>
      <c r="BG41" s="479"/>
      <c r="BH41" s="479"/>
      <c r="BI41" s="479"/>
      <c r="BJ41" s="479"/>
      <c r="BK41" s="479"/>
      <c r="BL41" s="479"/>
      <c r="BM41" s="479"/>
      <c r="BN41" s="479"/>
      <c r="BO41" s="479"/>
      <c r="BP41" s="479"/>
      <c r="BQ41" s="479"/>
      <c r="BR41" s="479"/>
      <c r="BS41" s="479"/>
      <c r="BT41" s="479"/>
      <c r="BU41" s="479"/>
      <c r="BV41" s="479"/>
      <c r="BW41" s="479"/>
      <c r="BX41" s="479"/>
      <c r="BY41" s="479"/>
      <c r="BZ41" s="479"/>
      <c r="CA41" s="479"/>
      <c r="CB41" s="479"/>
      <c r="CC41" s="479"/>
    </row>
    <row r="42" spans="7:81" x14ac:dyDescent="0.3">
      <c r="G42" s="479"/>
      <c r="H42" s="479"/>
      <c r="I42" s="479"/>
      <c r="J42" s="479"/>
      <c r="K42" s="479"/>
      <c r="L42" s="479"/>
      <c r="M42" s="479"/>
      <c r="N42" s="479"/>
      <c r="O42" s="479"/>
      <c r="P42" s="479"/>
      <c r="Q42" s="479"/>
      <c r="R42" s="479"/>
      <c r="S42" s="479"/>
      <c r="T42" s="479"/>
      <c r="U42" s="479"/>
      <c r="V42" s="479"/>
      <c r="W42" s="479"/>
      <c r="X42" s="478"/>
      <c r="Y42" s="479"/>
      <c r="Z42" s="479"/>
      <c r="AA42" s="479"/>
      <c r="AB42" s="479"/>
      <c r="AC42" s="479"/>
      <c r="AD42" s="479"/>
      <c r="AE42" s="479"/>
      <c r="AF42" s="479"/>
      <c r="AG42" s="479"/>
      <c r="AH42" s="479"/>
      <c r="AI42" s="479"/>
      <c r="AJ42" s="479"/>
      <c r="AK42" s="479"/>
      <c r="AL42" s="479"/>
      <c r="AM42" s="479"/>
      <c r="AN42" s="479"/>
      <c r="AO42" s="479"/>
      <c r="AP42" s="479"/>
      <c r="AQ42" s="479"/>
      <c r="AR42" s="479"/>
      <c r="AS42" s="479"/>
      <c r="AT42" s="479"/>
      <c r="AU42" s="479"/>
      <c r="AV42" s="479"/>
      <c r="AW42" s="479"/>
      <c r="AX42" s="479"/>
      <c r="AY42" s="479"/>
      <c r="AZ42" s="479"/>
      <c r="BA42" s="479"/>
      <c r="BB42" s="479"/>
      <c r="BC42" s="479"/>
      <c r="BD42" s="479"/>
      <c r="BE42" s="479"/>
      <c r="BF42" s="479"/>
      <c r="BG42" s="479"/>
      <c r="BH42" s="479"/>
      <c r="BI42" s="479"/>
      <c r="BJ42" s="479"/>
      <c r="BK42" s="479"/>
      <c r="BL42" s="479"/>
      <c r="BM42" s="479"/>
      <c r="BN42" s="479"/>
      <c r="BO42" s="479"/>
      <c r="BP42" s="479"/>
      <c r="BQ42" s="479"/>
      <c r="BR42" s="479"/>
      <c r="BS42" s="479"/>
      <c r="BT42" s="479"/>
      <c r="BU42" s="479"/>
      <c r="BV42" s="479"/>
      <c r="BW42" s="479"/>
      <c r="BX42" s="479"/>
      <c r="BY42" s="479"/>
      <c r="BZ42" s="479"/>
      <c r="CA42" s="479"/>
      <c r="CB42" s="479"/>
      <c r="CC42" s="479"/>
    </row>
    <row r="43" spans="7:81" x14ac:dyDescent="0.3">
      <c r="G43" s="479"/>
      <c r="H43" s="479"/>
      <c r="I43" s="479"/>
      <c r="J43" s="479"/>
      <c r="K43" s="479"/>
      <c r="L43" s="479"/>
      <c r="M43" s="479"/>
      <c r="N43" s="479"/>
      <c r="O43" s="479"/>
      <c r="P43" s="479"/>
      <c r="Q43" s="479"/>
      <c r="R43" s="479"/>
      <c r="S43" s="479"/>
      <c r="T43" s="479"/>
      <c r="U43" s="479"/>
      <c r="V43" s="479"/>
      <c r="W43" s="479"/>
      <c r="X43" s="478"/>
      <c r="Y43" s="479"/>
      <c r="Z43" s="479"/>
      <c r="AA43" s="479"/>
      <c r="AB43" s="479"/>
      <c r="AC43" s="479"/>
      <c r="AD43" s="479"/>
      <c r="AE43" s="479"/>
      <c r="AF43" s="479"/>
      <c r="AG43" s="479"/>
      <c r="AH43" s="479"/>
      <c r="AI43" s="479"/>
      <c r="AJ43" s="479"/>
      <c r="AK43" s="479"/>
      <c r="AL43" s="479"/>
      <c r="AM43" s="479"/>
      <c r="AN43" s="479"/>
      <c r="AO43" s="479"/>
      <c r="AP43" s="479"/>
      <c r="AQ43" s="479"/>
      <c r="AR43" s="479"/>
      <c r="AS43" s="479"/>
      <c r="AT43" s="479"/>
      <c r="AU43" s="479"/>
      <c r="AV43" s="479"/>
      <c r="AW43" s="479"/>
      <c r="AX43" s="479"/>
      <c r="AY43" s="479"/>
      <c r="AZ43" s="479"/>
      <c r="BA43" s="479"/>
      <c r="BB43" s="479"/>
      <c r="BC43" s="479"/>
      <c r="BD43" s="479"/>
      <c r="BE43" s="479"/>
      <c r="BF43" s="479"/>
      <c r="BG43" s="479"/>
      <c r="BH43" s="479"/>
      <c r="BI43" s="479"/>
      <c r="BJ43" s="479"/>
      <c r="BK43" s="479"/>
      <c r="BL43" s="479"/>
      <c r="BM43" s="479"/>
      <c r="BN43" s="479"/>
      <c r="BO43" s="479"/>
      <c r="BP43" s="479"/>
      <c r="BQ43" s="479"/>
      <c r="BR43" s="479"/>
      <c r="BS43" s="479"/>
      <c r="BT43" s="479"/>
      <c r="BU43" s="479"/>
      <c r="BV43" s="479"/>
      <c r="BW43" s="479"/>
      <c r="BX43" s="479"/>
      <c r="BY43" s="479"/>
      <c r="BZ43" s="479"/>
      <c r="CA43" s="479"/>
      <c r="CB43" s="479"/>
      <c r="CC43" s="479"/>
    </row>
    <row r="44" spans="7:81" x14ac:dyDescent="0.3">
      <c r="G44" s="479"/>
      <c r="H44" s="479"/>
      <c r="I44" s="479"/>
      <c r="J44" s="479"/>
      <c r="K44" s="479"/>
      <c r="L44" s="479"/>
      <c r="M44" s="479"/>
      <c r="N44" s="479"/>
      <c r="O44" s="479"/>
      <c r="P44" s="479"/>
      <c r="Q44" s="479"/>
      <c r="R44" s="479"/>
      <c r="S44" s="479"/>
      <c r="T44" s="479"/>
      <c r="U44" s="479"/>
      <c r="V44" s="479"/>
      <c r="W44" s="479"/>
      <c r="X44" s="478"/>
      <c r="Y44" s="479"/>
      <c r="Z44" s="479"/>
      <c r="AA44" s="479"/>
      <c r="AB44" s="479"/>
      <c r="AC44" s="479"/>
      <c r="AD44" s="479"/>
      <c r="AE44" s="479"/>
      <c r="AF44" s="479"/>
      <c r="AG44" s="479"/>
      <c r="AH44" s="479"/>
      <c r="AI44" s="479"/>
      <c r="AJ44" s="479"/>
      <c r="AK44" s="479"/>
      <c r="AL44" s="479"/>
      <c r="AM44" s="479"/>
      <c r="AN44" s="479"/>
      <c r="AO44" s="479"/>
      <c r="AP44" s="479"/>
      <c r="AQ44" s="479"/>
      <c r="AR44" s="479"/>
      <c r="AS44" s="479"/>
      <c r="AT44" s="479"/>
      <c r="AU44" s="479"/>
      <c r="AV44" s="479"/>
      <c r="AW44" s="479"/>
      <c r="AX44" s="479"/>
      <c r="AY44" s="479"/>
      <c r="AZ44" s="479"/>
      <c r="BA44" s="479"/>
      <c r="BB44" s="479"/>
      <c r="BC44" s="479"/>
      <c r="BD44" s="479"/>
      <c r="BE44" s="479"/>
      <c r="BF44" s="479"/>
      <c r="BG44" s="479"/>
      <c r="BH44" s="479"/>
      <c r="BI44" s="479"/>
      <c r="BJ44" s="479"/>
      <c r="BK44" s="479"/>
      <c r="BL44" s="479"/>
      <c r="BM44" s="479"/>
      <c r="BN44" s="479"/>
      <c r="BO44" s="479"/>
      <c r="BP44" s="479"/>
      <c r="BQ44" s="479"/>
      <c r="BR44" s="479"/>
      <c r="BS44" s="479"/>
      <c r="BT44" s="479"/>
      <c r="BU44" s="479"/>
      <c r="BV44" s="479"/>
      <c r="BW44" s="479"/>
      <c r="BX44" s="479"/>
      <c r="BY44" s="479"/>
      <c r="BZ44" s="479"/>
      <c r="CA44" s="479"/>
      <c r="CB44" s="479"/>
      <c r="CC44" s="479"/>
    </row>
    <row r="45" spans="7:81" x14ac:dyDescent="0.3">
      <c r="G45" s="479"/>
      <c r="H45" s="479"/>
      <c r="I45" s="479"/>
      <c r="J45" s="479"/>
      <c r="K45" s="479"/>
      <c r="L45" s="479"/>
      <c r="M45" s="479"/>
      <c r="N45" s="479"/>
      <c r="O45" s="479"/>
      <c r="P45" s="479"/>
      <c r="Q45" s="479"/>
      <c r="R45" s="479"/>
      <c r="S45" s="479"/>
      <c r="T45" s="479"/>
      <c r="U45" s="479"/>
      <c r="V45" s="479"/>
      <c r="W45" s="479"/>
      <c r="X45" s="478"/>
      <c r="Y45" s="479"/>
      <c r="Z45" s="479"/>
      <c r="AA45" s="479"/>
      <c r="AB45" s="479"/>
      <c r="AC45" s="479"/>
      <c r="AD45" s="479"/>
      <c r="AE45" s="479"/>
      <c r="AF45" s="479"/>
      <c r="AG45" s="479"/>
      <c r="AH45" s="479"/>
      <c r="AI45" s="479"/>
      <c r="AJ45" s="479"/>
      <c r="AK45" s="479"/>
      <c r="AL45" s="479"/>
      <c r="AM45" s="479"/>
      <c r="AN45" s="479"/>
      <c r="AO45" s="479"/>
      <c r="AP45" s="479"/>
      <c r="AQ45" s="479"/>
      <c r="AR45" s="479"/>
      <c r="AS45" s="479"/>
      <c r="AT45" s="479"/>
      <c r="AU45" s="479"/>
      <c r="AV45" s="479"/>
      <c r="AW45" s="479"/>
      <c r="AX45" s="479"/>
      <c r="AY45" s="479"/>
      <c r="AZ45" s="479"/>
      <c r="BA45" s="479"/>
      <c r="BB45" s="479"/>
      <c r="BC45" s="479"/>
      <c r="BD45" s="479"/>
      <c r="BE45" s="479"/>
      <c r="BF45" s="479"/>
      <c r="BG45" s="479"/>
      <c r="BH45" s="479"/>
      <c r="BI45" s="479"/>
      <c r="BJ45" s="479"/>
      <c r="BK45" s="479"/>
      <c r="BL45" s="479"/>
      <c r="BM45" s="479"/>
      <c r="BN45" s="479"/>
      <c r="BO45" s="479"/>
      <c r="BP45" s="479"/>
      <c r="BQ45" s="479"/>
      <c r="BR45" s="479"/>
      <c r="BS45" s="479"/>
      <c r="BT45" s="479"/>
      <c r="BU45" s="479"/>
      <c r="BV45" s="479"/>
      <c r="BW45" s="479"/>
      <c r="BX45" s="479"/>
      <c r="BY45" s="479"/>
      <c r="BZ45" s="479"/>
      <c r="CA45" s="479"/>
      <c r="CB45" s="479"/>
      <c r="CC45" s="479"/>
    </row>
    <row r="46" spans="7:81" x14ac:dyDescent="0.3">
      <c r="G46" s="479"/>
      <c r="H46" s="479"/>
      <c r="I46" s="479"/>
      <c r="J46" s="479"/>
      <c r="K46" s="479"/>
      <c r="L46" s="479"/>
      <c r="M46" s="479"/>
      <c r="N46" s="479"/>
      <c r="O46" s="479"/>
      <c r="P46" s="479"/>
      <c r="Q46" s="479"/>
      <c r="R46" s="479"/>
      <c r="S46" s="479"/>
      <c r="T46" s="479"/>
      <c r="U46" s="479"/>
      <c r="V46" s="479"/>
      <c r="W46" s="479"/>
      <c r="X46" s="478"/>
      <c r="Y46" s="479"/>
      <c r="Z46" s="479"/>
      <c r="AA46" s="479"/>
      <c r="AB46" s="479"/>
      <c r="AC46" s="479"/>
      <c r="AD46" s="479"/>
      <c r="AE46" s="479"/>
      <c r="AF46" s="479"/>
      <c r="AG46" s="479"/>
      <c r="AH46" s="479"/>
      <c r="AI46" s="479"/>
      <c r="AJ46" s="479"/>
      <c r="AK46" s="479"/>
      <c r="AL46" s="479"/>
      <c r="AM46" s="479"/>
      <c r="AN46" s="479"/>
      <c r="AO46" s="479"/>
      <c r="AP46" s="479"/>
      <c r="AQ46" s="479"/>
      <c r="AR46" s="479"/>
      <c r="AS46" s="479"/>
      <c r="AT46" s="479"/>
      <c r="AU46" s="479"/>
      <c r="AV46" s="479"/>
      <c r="AW46" s="479"/>
      <c r="AX46" s="479"/>
      <c r="AY46" s="479"/>
      <c r="AZ46" s="479"/>
      <c r="BA46" s="479"/>
      <c r="BB46" s="479"/>
      <c r="BC46" s="479"/>
      <c r="BD46" s="479"/>
      <c r="BE46" s="479"/>
      <c r="BF46" s="479"/>
      <c r="BG46" s="479"/>
      <c r="BH46" s="479"/>
      <c r="BI46" s="479"/>
      <c r="BJ46" s="479"/>
      <c r="BK46" s="479"/>
      <c r="BL46" s="479"/>
      <c r="BM46" s="479"/>
      <c r="BN46" s="479"/>
      <c r="BO46" s="479"/>
      <c r="BP46" s="479"/>
      <c r="BQ46" s="479"/>
      <c r="BR46" s="479"/>
      <c r="BS46" s="479"/>
      <c r="BT46" s="479"/>
      <c r="BU46" s="479"/>
      <c r="BV46" s="479"/>
      <c r="BW46" s="479"/>
      <c r="BX46" s="479"/>
      <c r="BY46" s="479"/>
      <c r="BZ46" s="479"/>
      <c r="CA46" s="479"/>
      <c r="CB46" s="479"/>
      <c r="CC46" s="479"/>
    </row>
    <row r="47" spans="7:81" x14ac:dyDescent="0.3"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8"/>
      <c r="Y47" s="479"/>
      <c r="Z47" s="479"/>
      <c r="AA47" s="479"/>
      <c r="AB47" s="479"/>
      <c r="AC47" s="479"/>
      <c r="AD47" s="479"/>
      <c r="AE47" s="479"/>
      <c r="AF47" s="479"/>
      <c r="AG47" s="479"/>
      <c r="AH47" s="479"/>
      <c r="AI47" s="479"/>
      <c r="AJ47" s="479"/>
      <c r="AK47" s="479"/>
      <c r="AL47" s="479"/>
      <c r="AM47" s="479"/>
      <c r="AN47" s="479"/>
      <c r="AO47" s="479"/>
      <c r="AP47" s="479"/>
      <c r="AQ47" s="479"/>
      <c r="AR47" s="479"/>
      <c r="AS47" s="479"/>
      <c r="AT47" s="479"/>
      <c r="AU47" s="479"/>
      <c r="AV47" s="479"/>
      <c r="AW47" s="479"/>
      <c r="AX47" s="479"/>
      <c r="AY47" s="479"/>
      <c r="AZ47" s="479"/>
      <c r="BA47" s="479"/>
      <c r="BB47" s="479"/>
      <c r="BC47" s="479"/>
      <c r="BD47" s="479"/>
      <c r="BE47" s="479"/>
      <c r="BF47" s="479"/>
      <c r="BG47" s="479"/>
      <c r="BH47" s="479"/>
      <c r="BI47" s="479"/>
      <c r="BJ47" s="479"/>
      <c r="BK47" s="479"/>
      <c r="BL47" s="479"/>
      <c r="BM47" s="479"/>
      <c r="BN47" s="479"/>
      <c r="BO47" s="479"/>
      <c r="BP47" s="479"/>
      <c r="BQ47" s="479"/>
      <c r="BR47" s="479"/>
      <c r="BS47" s="479"/>
      <c r="BT47" s="479"/>
      <c r="BU47" s="479"/>
      <c r="BV47" s="479"/>
      <c r="BW47" s="479"/>
      <c r="BX47" s="479"/>
      <c r="BY47" s="479"/>
      <c r="BZ47" s="479"/>
      <c r="CA47" s="479"/>
      <c r="CB47" s="479"/>
      <c r="CC47" s="479"/>
    </row>
    <row r="48" spans="7:81" x14ac:dyDescent="0.3">
      <c r="G48" s="479"/>
      <c r="H48" s="479"/>
      <c r="I48" s="479"/>
      <c r="J48" s="479"/>
      <c r="K48" s="479"/>
      <c r="L48" s="479"/>
      <c r="M48" s="479"/>
      <c r="N48" s="479"/>
      <c r="O48" s="479"/>
      <c r="P48" s="479"/>
      <c r="Q48" s="479"/>
      <c r="R48" s="479"/>
      <c r="S48" s="479"/>
      <c r="T48" s="479"/>
      <c r="U48" s="479"/>
      <c r="V48" s="479"/>
      <c r="W48" s="479"/>
      <c r="X48" s="478"/>
      <c r="Y48" s="479"/>
      <c r="Z48" s="479"/>
      <c r="AA48" s="479"/>
      <c r="AB48" s="479"/>
      <c r="AC48" s="479"/>
      <c r="AD48" s="479"/>
      <c r="AE48" s="479"/>
      <c r="AF48" s="479"/>
      <c r="AG48" s="479"/>
      <c r="AH48" s="479"/>
      <c r="AI48" s="479"/>
      <c r="AJ48" s="479"/>
      <c r="AK48" s="479"/>
      <c r="AL48" s="479"/>
      <c r="AM48" s="479"/>
      <c r="AN48" s="479"/>
      <c r="AO48" s="479"/>
      <c r="AP48" s="479"/>
      <c r="AQ48" s="479"/>
      <c r="AR48" s="479"/>
      <c r="AS48" s="479"/>
      <c r="AT48" s="479"/>
      <c r="AU48" s="479"/>
      <c r="AV48" s="479"/>
      <c r="AW48" s="479"/>
      <c r="AX48" s="479"/>
      <c r="AY48" s="479"/>
      <c r="AZ48" s="479"/>
      <c r="BA48" s="479"/>
      <c r="BB48" s="479"/>
      <c r="BC48" s="479"/>
      <c r="BD48" s="479"/>
      <c r="BE48" s="479"/>
      <c r="BF48" s="479"/>
      <c r="BG48" s="479"/>
      <c r="BH48" s="479"/>
      <c r="BI48" s="479"/>
      <c r="BJ48" s="479"/>
      <c r="BK48" s="479"/>
      <c r="BL48" s="479"/>
      <c r="BM48" s="479"/>
      <c r="BN48" s="479"/>
      <c r="BO48" s="479"/>
      <c r="BP48" s="479"/>
      <c r="BQ48" s="479"/>
      <c r="BR48" s="479"/>
      <c r="BS48" s="479"/>
      <c r="BT48" s="479"/>
      <c r="BU48" s="479"/>
      <c r="BV48" s="479"/>
      <c r="BW48" s="479"/>
      <c r="BX48" s="479"/>
      <c r="BY48" s="479"/>
      <c r="BZ48" s="479"/>
      <c r="CA48" s="479"/>
      <c r="CB48" s="479"/>
      <c r="CC48" s="479"/>
    </row>
    <row r="49" spans="7:81" x14ac:dyDescent="0.3">
      <c r="G49" s="479"/>
      <c r="H49" s="479"/>
      <c r="I49" s="479"/>
      <c r="J49" s="479"/>
      <c r="K49" s="479"/>
      <c r="L49" s="479"/>
      <c r="M49" s="479"/>
      <c r="N49" s="479"/>
      <c r="O49" s="479"/>
      <c r="P49" s="479"/>
      <c r="Q49" s="479"/>
      <c r="R49" s="479"/>
      <c r="S49" s="479"/>
      <c r="T49" s="479"/>
      <c r="U49" s="479"/>
      <c r="V49" s="479"/>
      <c r="W49" s="479"/>
      <c r="X49" s="478"/>
      <c r="Y49" s="479"/>
      <c r="Z49" s="479"/>
      <c r="AA49" s="479"/>
      <c r="AB49" s="479"/>
      <c r="AC49" s="479"/>
      <c r="AD49" s="479"/>
      <c r="AE49" s="479"/>
      <c r="AF49" s="479"/>
      <c r="AG49" s="479"/>
      <c r="AH49" s="479"/>
      <c r="AI49" s="479"/>
      <c r="AJ49" s="479"/>
      <c r="AK49" s="479"/>
      <c r="AL49" s="479"/>
      <c r="AM49" s="479"/>
      <c r="AN49" s="479"/>
      <c r="AO49" s="479"/>
      <c r="AP49" s="479"/>
      <c r="AQ49" s="479"/>
      <c r="AR49" s="479"/>
      <c r="AS49" s="479"/>
      <c r="AT49" s="479"/>
      <c r="AU49" s="479"/>
      <c r="AV49" s="479"/>
      <c r="AW49" s="479"/>
      <c r="AX49" s="479"/>
      <c r="AY49" s="479"/>
      <c r="AZ49" s="479"/>
      <c r="BA49" s="479"/>
      <c r="BB49" s="479"/>
      <c r="BC49" s="479"/>
      <c r="BD49" s="479"/>
      <c r="BE49" s="479"/>
      <c r="BF49" s="479"/>
      <c r="BG49" s="479"/>
      <c r="BH49" s="479"/>
      <c r="BI49" s="479"/>
      <c r="BJ49" s="479"/>
      <c r="BK49" s="479"/>
      <c r="BL49" s="479"/>
      <c r="BM49" s="479"/>
      <c r="BN49" s="479"/>
      <c r="BO49" s="479"/>
      <c r="BP49" s="479"/>
      <c r="BQ49" s="479"/>
      <c r="BR49" s="479"/>
      <c r="BS49" s="479"/>
      <c r="BT49" s="479"/>
      <c r="BU49" s="479"/>
      <c r="BV49" s="479"/>
      <c r="BW49" s="479"/>
      <c r="BX49" s="479"/>
      <c r="BY49" s="479"/>
      <c r="BZ49" s="479"/>
      <c r="CA49" s="479"/>
      <c r="CB49" s="479"/>
      <c r="CC49" s="479"/>
    </row>
    <row r="50" spans="7:81" x14ac:dyDescent="0.3">
      <c r="G50" s="479"/>
      <c r="H50" s="479"/>
      <c r="I50" s="479"/>
      <c r="J50" s="479"/>
      <c r="K50" s="479"/>
      <c r="L50" s="479"/>
      <c r="M50" s="479"/>
      <c r="N50" s="479"/>
      <c r="O50" s="479"/>
      <c r="P50" s="479"/>
      <c r="Q50" s="479"/>
      <c r="R50" s="479"/>
      <c r="S50" s="479"/>
      <c r="T50" s="479"/>
      <c r="U50" s="479"/>
      <c r="V50" s="479"/>
      <c r="W50" s="479"/>
      <c r="X50" s="478"/>
      <c r="Y50" s="479"/>
      <c r="Z50" s="479"/>
      <c r="AA50" s="479"/>
      <c r="AB50" s="479"/>
      <c r="AC50" s="479"/>
      <c r="AD50" s="479"/>
      <c r="AE50" s="479"/>
      <c r="AF50" s="479"/>
      <c r="AG50" s="479"/>
      <c r="AH50" s="479"/>
      <c r="AI50" s="479"/>
      <c r="AJ50" s="479"/>
      <c r="AK50" s="479"/>
      <c r="AL50" s="479"/>
      <c r="AM50" s="479"/>
      <c r="AN50" s="479"/>
      <c r="AO50" s="479"/>
      <c r="AP50" s="479"/>
      <c r="AQ50" s="479"/>
      <c r="AR50" s="479"/>
      <c r="AS50" s="479"/>
      <c r="AT50" s="479"/>
      <c r="AU50" s="479"/>
      <c r="AV50" s="479"/>
      <c r="AW50" s="479"/>
      <c r="AX50" s="479"/>
      <c r="AY50" s="479"/>
      <c r="AZ50" s="479"/>
      <c r="BA50" s="479"/>
      <c r="BB50" s="479"/>
      <c r="BC50" s="479"/>
      <c r="BD50" s="479"/>
      <c r="BE50" s="479"/>
      <c r="BF50" s="479"/>
      <c r="BG50" s="479"/>
      <c r="BH50" s="479"/>
      <c r="BI50" s="479"/>
      <c r="BJ50" s="479"/>
      <c r="BK50" s="479"/>
      <c r="BL50" s="479"/>
      <c r="BM50" s="479"/>
      <c r="BN50" s="479"/>
      <c r="BO50" s="479"/>
      <c r="BP50" s="479"/>
      <c r="BQ50" s="479"/>
      <c r="BR50" s="479"/>
      <c r="BS50" s="479"/>
      <c r="BT50" s="479"/>
      <c r="BU50" s="479"/>
      <c r="BV50" s="479"/>
      <c r="BW50" s="479"/>
      <c r="BX50" s="479"/>
      <c r="BY50" s="479"/>
      <c r="BZ50" s="479"/>
      <c r="CA50" s="479"/>
      <c r="CB50" s="479"/>
      <c r="CC50" s="479"/>
    </row>
    <row r="51" spans="7:81" x14ac:dyDescent="0.3">
      <c r="G51" s="479"/>
      <c r="H51" s="479"/>
      <c r="I51" s="479"/>
      <c r="J51" s="479"/>
      <c r="K51" s="479"/>
      <c r="L51" s="479"/>
      <c r="M51" s="479"/>
      <c r="N51" s="479"/>
      <c r="O51" s="479"/>
      <c r="P51" s="479"/>
      <c r="Q51" s="479"/>
      <c r="R51" s="479"/>
      <c r="S51" s="479"/>
      <c r="T51" s="479"/>
      <c r="U51" s="479"/>
      <c r="V51" s="479"/>
      <c r="W51" s="479"/>
      <c r="X51" s="478"/>
      <c r="Y51" s="479"/>
      <c r="Z51" s="479"/>
      <c r="AA51" s="479"/>
      <c r="AB51" s="479"/>
      <c r="AC51" s="479"/>
      <c r="AD51" s="479"/>
      <c r="AE51" s="479"/>
      <c r="AF51" s="479"/>
      <c r="AG51" s="479"/>
      <c r="AH51" s="479"/>
      <c r="AI51" s="479"/>
      <c r="AJ51" s="479"/>
      <c r="AK51" s="479"/>
      <c r="AL51" s="479"/>
      <c r="AM51" s="479"/>
      <c r="AN51" s="479"/>
      <c r="AO51" s="479"/>
      <c r="AP51" s="479"/>
      <c r="AQ51" s="479"/>
      <c r="AR51" s="479"/>
      <c r="AS51" s="479"/>
      <c r="AT51" s="479"/>
      <c r="AU51" s="479"/>
      <c r="AV51" s="479"/>
      <c r="AW51" s="479"/>
      <c r="AX51" s="479"/>
      <c r="AY51" s="479"/>
      <c r="AZ51" s="479"/>
      <c r="BA51" s="479"/>
      <c r="BB51" s="479"/>
      <c r="BC51" s="479"/>
      <c r="BD51" s="479"/>
      <c r="BE51" s="479"/>
      <c r="BF51" s="479"/>
      <c r="BG51" s="479"/>
      <c r="BH51" s="479"/>
      <c r="BI51" s="479"/>
      <c r="BJ51" s="479"/>
      <c r="BK51" s="479"/>
      <c r="BL51" s="479"/>
      <c r="BM51" s="479"/>
      <c r="BN51" s="479"/>
      <c r="BO51" s="479"/>
      <c r="BP51" s="479"/>
      <c r="BQ51" s="479"/>
      <c r="BR51" s="479"/>
      <c r="BS51" s="479"/>
      <c r="BT51" s="479"/>
      <c r="BU51" s="479"/>
      <c r="BV51" s="479"/>
      <c r="BW51" s="479"/>
      <c r="BX51" s="479"/>
      <c r="BY51" s="479"/>
      <c r="BZ51" s="479"/>
      <c r="CA51" s="479"/>
      <c r="CB51" s="479"/>
      <c r="CC51" s="479"/>
    </row>
    <row r="52" spans="7:81" x14ac:dyDescent="0.3">
      <c r="G52" s="479"/>
      <c r="H52" s="479"/>
      <c r="I52" s="479"/>
      <c r="J52" s="479"/>
      <c r="K52" s="479"/>
      <c r="L52" s="479"/>
      <c r="M52" s="479"/>
      <c r="N52" s="479"/>
      <c r="O52" s="479"/>
      <c r="P52" s="479"/>
      <c r="Q52" s="479"/>
      <c r="R52" s="479"/>
      <c r="S52" s="479"/>
      <c r="T52" s="479"/>
      <c r="U52" s="479"/>
      <c r="V52" s="479"/>
      <c r="W52" s="479"/>
      <c r="X52" s="478"/>
      <c r="Y52" s="479"/>
      <c r="Z52" s="479"/>
      <c r="AA52" s="479"/>
      <c r="AB52" s="479"/>
      <c r="AC52" s="479"/>
      <c r="AD52" s="479"/>
      <c r="AE52" s="479"/>
      <c r="AF52" s="479"/>
      <c r="AG52" s="479"/>
      <c r="AH52" s="479"/>
      <c r="AI52" s="479"/>
      <c r="AJ52" s="479"/>
      <c r="AK52" s="479"/>
      <c r="AL52" s="479"/>
      <c r="AM52" s="479"/>
      <c r="AN52" s="479"/>
      <c r="AO52" s="479"/>
      <c r="AP52" s="479"/>
      <c r="AQ52" s="479"/>
      <c r="AR52" s="479"/>
      <c r="AS52" s="479"/>
      <c r="AT52" s="479"/>
      <c r="AU52" s="479"/>
      <c r="AV52" s="479"/>
      <c r="AW52" s="479"/>
      <c r="AX52" s="479"/>
      <c r="AY52" s="479"/>
      <c r="AZ52" s="479"/>
      <c r="BA52" s="479"/>
      <c r="BB52" s="479"/>
      <c r="BC52" s="479"/>
      <c r="BD52" s="479"/>
      <c r="BE52" s="479"/>
      <c r="BF52" s="479"/>
      <c r="BG52" s="479"/>
      <c r="BH52" s="479"/>
      <c r="BI52" s="479"/>
      <c r="BJ52" s="479"/>
      <c r="BK52" s="479"/>
      <c r="BL52" s="479"/>
      <c r="BM52" s="479"/>
      <c r="BN52" s="479"/>
      <c r="BO52" s="479"/>
      <c r="BP52" s="479"/>
      <c r="BQ52" s="479"/>
      <c r="BR52" s="479"/>
      <c r="BS52" s="479"/>
      <c r="BT52" s="479"/>
      <c r="BU52" s="479"/>
      <c r="BV52" s="479"/>
      <c r="BW52" s="479"/>
      <c r="BX52" s="479"/>
      <c r="BY52" s="479"/>
      <c r="BZ52" s="479"/>
      <c r="CA52" s="479"/>
      <c r="CB52" s="479"/>
      <c r="CC52" s="479"/>
    </row>
    <row r="53" spans="7:81" x14ac:dyDescent="0.3">
      <c r="G53" s="479"/>
      <c r="H53" s="479"/>
      <c r="I53" s="479"/>
      <c r="J53" s="479"/>
      <c r="K53" s="479"/>
      <c r="L53" s="479"/>
      <c r="M53" s="479"/>
      <c r="N53" s="479"/>
      <c r="O53" s="479"/>
      <c r="P53" s="479"/>
      <c r="Q53" s="479"/>
      <c r="R53" s="479"/>
      <c r="S53" s="479"/>
      <c r="T53" s="479"/>
      <c r="U53" s="479"/>
      <c r="V53" s="479"/>
      <c r="W53" s="479"/>
      <c r="X53" s="478"/>
      <c r="Y53" s="479"/>
      <c r="Z53" s="479"/>
      <c r="AA53" s="479"/>
      <c r="AB53" s="479"/>
      <c r="AC53" s="479"/>
      <c r="AD53" s="479"/>
      <c r="AE53" s="479"/>
      <c r="AF53" s="479"/>
      <c r="AG53" s="479"/>
      <c r="AH53" s="479"/>
      <c r="AI53" s="479"/>
      <c r="AJ53" s="479"/>
      <c r="AK53" s="479"/>
      <c r="AL53" s="479"/>
      <c r="AM53" s="479"/>
      <c r="AN53" s="479"/>
      <c r="AO53" s="479"/>
      <c r="AP53" s="479"/>
      <c r="AQ53" s="479"/>
      <c r="AR53" s="479"/>
      <c r="AS53" s="479"/>
      <c r="AT53" s="479"/>
      <c r="AU53" s="479"/>
      <c r="AV53" s="479"/>
      <c r="AW53" s="479"/>
      <c r="AX53" s="479"/>
      <c r="AY53" s="479"/>
      <c r="AZ53" s="479"/>
      <c r="BA53" s="479"/>
      <c r="BB53" s="479"/>
      <c r="BC53" s="479"/>
      <c r="BD53" s="479"/>
      <c r="BE53" s="479"/>
      <c r="BF53" s="479"/>
      <c r="BG53" s="479"/>
      <c r="BH53" s="479"/>
      <c r="BI53" s="479"/>
      <c r="BJ53" s="479"/>
      <c r="BK53" s="479"/>
      <c r="BL53" s="479"/>
      <c r="BM53" s="479"/>
      <c r="BN53" s="479"/>
      <c r="BO53" s="479"/>
      <c r="BP53" s="479"/>
      <c r="BQ53" s="479"/>
      <c r="BR53" s="479"/>
      <c r="BS53" s="479"/>
      <c r="BT53" s="479"/>
      <c r="BU53" s="479"/>
      <c r="BV53" s="479"/>
      <c r="BW53" s="479"/>
      <c r="BX53" s="479"/>
      <c r="BY53" s="479"/>
      <c r="BZ53" s="479"/>
      <c r="CA53" s="479"/>
      <c r="CB53" s="479"/>
      <c r="CC53" s="479"/>
    </row>
    <row r="54" spans="7:81" x14ac:dyDescent="0.3">
      <c r="G54" s="479"/>
      <c r="H54" s="479"/>
      <c r="I54" s="479"/>
      <c r="J54" s="479"/>
      <c r="K54" s="479"/>
      <c r="L54" s="479"/>
      <c r="M54" s="479"/>
      <c r="N54" s="479"/>
      <c r="O54" s="479"/>
      <c r="P54" s="479"/>
      <c r="Q54" s="479"/>
      <c r="R54" s="479"/>
      <c r="S54" s="479"/>
      <c r="T54" s="479"/>
      <c r="U54" s="479"/>
      <c r="V54" s="479"/>
      <c r="W54" s="479"/>
      <c r="X54" s="478"/>
      <c r="Y54" s="479"/>
      <c r="Z54" s="479"/>
      <c r="AA54" s="479"/>
      <c r="AB54" s="479"/>
      <c r="AC54" s="479"/>
      <c r="AD54" s="479"/>
      <c r="AE54" s="479"/>
      <c r="AF54" s="479"/>
      <c r="AG54" s="479"/>
      <c r="AH54" s="479"/>
      <c r="AI54" s="479"/>
      <c r="AJ54" s="479"/>
      <c r="AK54" s="479"/>
      <c r="AL54" s="479"/>
      <c r="AM54" s="479"/>
      <c r="AN54" s="479"/>
      <c r="AO54" s="479"/>
      <c r="AP54" s="479"/>
      <c r="AQ54" s="479"/>
      <c r="AR54" s="479"/>
      <c r="AS54" s="479"/>
      <c r="AT54" s="479"/>
      <c r="AU54" s="479"/>
      <c r="AV54" s="479"/>
      <c r="AW54" s="479"/>
      <c r="AX54" s="479"/>
      <c r="AY54" s="479"/>
      <c r="AZ54" s="479"/>
      <c r="BA54" s="479"/>
      <c r="BB54" s="479"/>
      <c r="BC54" s="479"/>
      <c r="BD54" s="479"/>
      <c r="BE54" s="479"/>
      <c r="BF54" s="479"/>
      <c r="BG54" s="479"/>
      <c r="BH54" s="479"/>
      <c r="BI54" s="479"/>
      <c r="BJ54" s="479"/>
      <c r="BK54" s="479"/>
      <c r="BL54" s="479"/>
      <c r="BM54" s="479"/>
      <c r="BN54" s="479"/>
      <c r="BO54" s="479"/>
      <c r="BP54" s="479"/>
      <c r="BQ54" s="479"/>
      <c r="BR54" s="479"/>
      <c r="BS54" s="479"/>
      <c r="BT54" s="479"/>
      <c r="BU54" s="479"/>
      <c r="BV54" s="479"/>
      <c r="BW54" s="479"/>
      <c r="BX54" s="479"/>
      <c r="BY54" s="479"/>
      <c r="BZ54" s="479"/>
      <c r="CA54" s="479"/>
      <c r="CB54" s="479"/>
      <c r="CC54" s="479"/>
    </row>
    <row r="55" spans="7:81" x14ac:dyDescent="0.3">
      <c r="G55" s="479"/>
      <c r="H55" s="479"/>
      <c r="I55" s="479"/>
      <c r="J55" s="479"/>
      <c r="K55" s="479"/>
      <c r="L55" s="479"/>
      <c r="M55" s="479"/>
      <c r="N55" s="479"/>
      <c r="O55" s="479"/>
      <c r="P55" s="479"/>
      <c r="Q55" s="479"/>
      <c r="R55" s="479"/>
      <c r="S55" s="479"/>
      <c r="T55" s="479"/>
      <c r="U55" s="479"/>
      <c r="V55" s="479"/>
      <c r="W55" s="479"/>
      <c r="X55" s="478"/>
      <c r="Y55" s="479"/>
      <c r="Z55" s="479"/>
      <c r="AA55" s="479"/>
      <c r="AB55" s="479"/>
      <c r="AC55" s="479"/>
      <c r="AD55" s="479"/>
      <c r="AE55" s="479"/>
      <c r="AF55" s="479"/>
      <c r="AG55" s="479"/>
      <c r="AH55" s="479"/>
      <c r="AI55" s="479"/>
      <c r="AJ55" s="479"/>
      <c r="AK55" s="479"/>
      <c r="AL55" s="479"/>
      <c r="AM55" s="479"/>
      <c r="AN55" s="479"/>
      <c r="AO55" s="479"/>
      <c r="AP55" s="479"/>
      <c r="AQ55" s="479"/>
      <c r="AR55" s="479"/>
      <c r="AS55" s="479"/>
      <c r="AT55" s="479"/>
      <c r="AU55" s="479"/>
      <c r="AV55" s="479"/>
      <c r="AW55" s="479"/>
      <c r="AX55" s="479"/>
      <c r="AY55" s="479"/>
      <c r="AZ55" s="479"/>
      <c r="BA55" s="479"/>
      <c r="BB55" s="479"/>
      <c r="BC55" s="479"/>
      <c r="BD55" s="479"/>
      <c r="BE55" s="479"/>
      <c r="BF55" s="479"/>
      <c r="BG55" s="479"/>
      <c r="BH55" s="479"/>
      <c r="BI55" s="479"/>
      <c r="BJ55" s="479"/>
      <c r="BK55" s="479"/>
      <c r="BL55" s="479"/>
      <c r="BM55" s="479"/>
      <c r="BN55" s="479"/>
      <c r="BO55" s="479"/>
      <c r="BP55" s="479"/>
      <c r="BQ55" s="479"/>
      <c r="BR55" s="479"/>
      <c r="BS55" s="479"/>
      <c r="BT55" s="479"/>
      <c r="BU55" s="479"/>
      <c r="BV55" s="479"/>
      <c r="BW55" s="479"/>
      <c r="BX55" s="479"/>
      <c r="BY55" s="479"/>
      <c r="BZ55" s="479"/>
      <c r="CA55" s="479"/>
      <c r="CB55" s="479"/>
      <c r="CC55" s="479"/>
    </row>
    <row r="56" spans="7:81" x14ac:dyDescent="0.3">
      <c r="G56" s="479"/>
      <c r="H56" s="479"/>
      <c r="I56" s="479"/>
      <c r="J56" s="479"/>
      <c r="K56" s="479"/>
      <c r="L56" s="479"/>
      <c r="M56" s="479"/>
      <c r="N56" s="479"/>
      <c r="O56" s="479"/>
      <c r="P56" s="479"/>
      <c r="Q56" s="479"/>
      <c r="R56" s="479"/>
      <c r="S56" s="479"/>
      <c r="T56" s="479"/>
      <c r="U56" s="479"/>
      <c r="V56" s="479"/>
      <c r="W56" s="479"/>
      <c r="X56" s="478"/>
      <c r="Y56" s="479"/>
      <c r="Z56" s="479"/>
      <c r="AA56" s="479"/>
      <c r="AB56" s="479"/>
      <c r="AC56" s="479"/>
      <c r="AD56" s="479"/>
      <c r="AE56" s="479"/>
      <c r="AF56" s="479"/>
      <c r="AG56" s="479"/>
      <c r="AH56" s="479"/>
      <c r="AI56" s="479"/>
      <c r="AJ56" s="479"/>
      <c r="AK56" s="479"/>
      <c r="AL56" s="479"/>
      <c r="AM56" s="479"/>
      <c r="AN56" s="479"/>
      <c r="AO56" s="479"/>
      <c r="AP56" s="479"/>
      <c r="AQ56" s="479"/>
      <c r="AR56" s="479"/>
      <c r="AS56" s="479"/>
      <c r="AT56" s="479"/>
      <c r="AU56" s="479"/>
      <c r="AV56" s="479"/>
      <c r="AW56" s="479"/>
      <c r="AX56" s="479"/>
      <c r="AY56" s="479"/>
      <c r="AZ56" s="479"/>
      <c r="BA56" s="479"/>
      <c r="BB56" s="479"/>
      <c r="BC56" s="479"/>
      <c r="BD56" s="479"/>
      <c r="BE56" s="479"/>
      <c r="BF56" s="479"/>
      <c r="BG56" s="479"/>
      <c r="BH56" s="479"/>
      <c r="BI56" s="479"/>
      <c r="BJ56" s="479"/>
      <c r="BK56" s="479"/>
      <c r="BL56" s="479"/>
      <c r="BM56" s="479"/>
      <c r="BN56" s="479"/>
      <c r="BO56" s="479"/>
      <c r="BP56" s="479"/>
      <c r="BQ56" s="479"/>
      <c r="BR56" s="479"/>
      <c r="BS56" s="479"/>
      <c r="BT56" s="479"/>
      <c r="BU56" s="479"/>
      <c r="BV56" s="479"/>
      <c r="BW56" s="479"/>
      <c r="BX56" s="479"/>
      <c r="BY56" s="479"/>
      <c r="BZ56" s="479"/>
      <c r="CA56" s="479"/>
      <c r="CB56" s="479"/>
      <c r="CC56" s="479"/>
    </row>
    <row r="57" spans="7:81" x14ac:dyDescent="0.3">
      <c r="G57" s="479"/>
      <c r="H57" s="479"/>
      <c r="I57" s="479"/>
      <c r="J57" s="479"/>
      <c r="K57" s="479"/>
      <c r="L57" s="479"/>
      <c r="M57" s="479"/>
      <c r="N57" s="479"/>
      <c r="O57" s="479"/>
      <c r="P57" s="479"/>
      <c r="Q57" s="479"/>
      <c r="R57" s="479"/>
      <c r="S57" s="479"/>
      <c r="T57" s="479"/>
      <c r="U57" s="479"/>
      <c r="V57" s="479"/>
      <c r="W57" s="479"/>
      <c r="X57" s="478"/>
      <c r="Y57" s="479"/>
      <c r="Z57" s="479"/>
      <c r="AA57" s="479"/>
      <c r="AB57" s="479"/>
      <c r="AC57" s="479"/>
      <c r="AD57" s="479"/>
      <c r="AE57" s="479"/>
      <c r="AF57" s="479"/>
      <c r="AG57" s="479"/>
      <c r="AH57" s="479"/>
      <c r="AI57" s="479"/>
      <c r="AJ57" s="479"/>
      <c r="AK57" s="479"/>
      <c r="AL57" s="479"/>
      <c r="AM57" s="479"/>
      <c r="AN57" s="479"/>
      <c r="AO57" s="479"/>
      <c r="AP57" s="479"/>
      <c r="AQ57" s="479"/>
      <c r="AR57" s="479"/>
      <c r="AS57" s="479"/>
      <c r="AT57" s="479"/>
      <c r="AU57" s="479"/>
      <c r="AV57" s="479"/>
      <c r="AW57" s="479"/>
      <c r="AX57" s="479"/>
      <c r="AY57" s="479"/>
      <c r="AZ57" s="479"/>
      <c r="BA57" s="479"/>
      <c r="BB57" s="479"/>
      <c r="BC57" s="479"/>
      <c r="BD57" s="479"/>
      <c r="BE57" s="479"/>
      <c r="BF57" s="479"/>
      <c r="BG57" s="479"/>
      <c r="BH57" s="479"/>
      <c r="BI57" s="479"/>
      <c r="BJ57" s="479"/>
      <c r="BK57" s="479"/>
      <c r="BL57" s="479"/>
      <c r="BM57" s="479"/>
      <c r="BN57" s="479"/>
      <c r="BO57" s="479"/>
      <c r="BP57" s="479"/>
      <c r="BQ57" s="479"/>
      <c r="BR57" s="479"/>
      <c r="BS57" s="479"/>
      <c r="BT57" s="479"/>
      <c r="BU57" s="479"/>
      <c r="BV57" s="479"/>
      <c r="BW57" s="479"/>
      <c r="BX57" s="479"/>
      <c r="BY57" s="479"/>
      <c r="BZ57" s="479"/>
      <c r="CA57" s="479"/>
      <c r="CB57" s="479"/>
      <c r="CC57" s="479"/>
    </row>
    <row r="58" spans="7:81" x14ac:dyDescent="0.3">
      <c r="G58" s="479"/>
      <c r="H58" s="479"/>
      <c r="I58" s="479"/>
      <c r="J58" s="479"/>
      <c r="K58" s="479"/>
      <c r="L58" s="479"/>
      <c r="M58" s="479"/>
      <c r="N58" s="479"/>
      <c r="O58" s="479"/>
      <c r="P58" s="479"/>
      <c r="Q58" s="479"/>
      <c r="R58" s="479"/>
      <c r="S58" s="479"/>
      <c r="T58" s="479"/>
      <c r="U58" s="479"/>
      <c r="V58" s="479"/>
      <c r="W58" s="479"/>
      <c r="X58" s="478"/>
      <c r="Y58" s="479"/>
      <c r="Z58" s="479"/>
      <c r="AA58" s="479"/>
      <c r="AB58" s="479"/>
      <c r="AC58" s="479"/>
      <c r="AD58" s="479"/>
      <c r="AE58" s="479"/>
      <c r="AF58" s="479"/>
      <c r="AG58" s="479"/>
      <c r="AH58" s="479"/>
      <c r="AI58" s="479"/>
      <c r="AJ58" s="479"/>
      <c r="AK58" s="479"/>
      <c r="AL58" s="479"/>
      <c r="AM58" s="479"/>
      <c r="AN58" s="479"/>
      <c r="AO58" s="479"/>
      <c r="AP58" s="479"/>
      <c r="AQ58" s="479"/>
      <c r="AR58" s="479"/>
      <c r="AS58" s="479"/>
      <c r="AT58" s="479"/>
      <c r="AU58" s="479"/>
      <c r="AV58" s="479"/>
      <c r="AW58" s="479"/>
      <c r="AX58" s="479"/>
      <c r="AY58" s="479"/>
      <c r="AZ58" s="479"/>
      <c r="BA58" s="479"/>
      <c r="BB58" s="479"/>
      <c r="BC58" s="479"/>
      <c r="BD58" s="479"/>
      <c r="BE58" s="479"/>
      <c r="BF58" s="479"/>
      <c r="BG58" s="479"/>
      <c r="BH58" s="479"/>
      <c r="BI58" s="479"/>
      <c r="BJ58" s="479"/>
      <c r="BK58" s="479"/>
      <c r="BL58" s="479"/>
      <c r="BM58" s="479"/>
      <c r="BN58" s="479"/>
      <c r="BO58" s="479"/>
      <c r="BP58" s="479"/>
      <c r="BQ58" s="479"/>
      <c r="BR58" s="479"/>
      <c r="BS58" s="479"/>
      <c r="BT58" s="479"/>
      <c r="BU58" s="479"/>
      <c r="BV58" s="479"/>
      <c r="BW58" s="479"/>
      <c r="BX58" s="479"/>
      <c r="BY58" s="479"/>
      <c r="BZ58" s="479"/>
      <c r="CA58" s="479"/>
      <c r="CB58" s="479"/>
      <c r="CC58" s="479"/>
    </row>
    <row r="59" spans="7:81" x14ac:dyDescent="0.3">
      <c r="G59" s="479"/>
      <c r="H59" s="479"/>
      <c r="I59" s="479"/>
      <c r="J59" s="479"/>
      <c r="K59" s="479"/>
      <c r="L59" s="479"/>
      <c r="M59" s="479"/>
      <c r="N59" s="479"/>
      <c r="O59" s="479"/>
      <c r="P59" s="479"/>
      <c r="Q59" s="479"/>
      <c r="R59" s="479"/>
      <c r="S59" s="479"/>
      <c r="T59" s="479"/>
      <c r="U59" s="479"/>
      <c r="V59" s="479"/>
      <c r="W59" s="479"/>
      <c r="X59" s="478"/>
      <c r="Y59" s="479"/>
      <c r="Z59" s="479"/>
      <c r="AA59" s="479"/>
      <c r="AB59" s="479"/>
      <c r="AC59" s="479"/>
      <c r="AD59" s="479"/>
      <c r="AE59" s="479"/>
      <c r="AF59" s="479"/>
      <c r="AG59" s="479"/>
      <c r="AH59" s="479"/>
      <c r="AI59" s="479"/>
      <c r="AJ59" s="479"/>
      <c r="AK59" s="479"/>
      <c r="AL59" s="479"/>
      <c r="AM59" s="479"/>
      <c r="AN59" s="479"/>
      <c r="AO59" s="479"/>
      <c r="AP59" s="479"/>
      <c r="AQ59" s="479"/>
      <c r="AR59" s="479"/>
      <c r="AS59" s="479"/>
      <c r="AT59" s="479"/>
      <c r="AU59" s="479"/>
      <c r="AV59" s="479"/>
      <c r="AW59" s="479"/>
      <c r="AX59" s="479"/>
      <c r="AY59" s="479"/>
      <c r="AZ59" s="479"/>
      <c r="BA59" s="479"/>
      <c r="BB59" s="479"/>
      <c r="BC59" s="479"/>
      <c r="BD59" s="479"/>
      <c r="BE59" s="479"/>
      <c r="BF59" s="479"/>
      <c r="BG59" s="479"/>
      <c r="BH59" s="479"/>
      <c r="BI59" s="479"/>
      <c r="BJ59" s="479"/>
      <c r="BK59" s="479"/>
      <c r="BL59" s="479"/>
      <c r="BM59" s="479"/>
      <c r="BN59" s="479"/>
      <c r="BO59" s="479"/>
      <c r="BP59" s="479"/>
      <c r="BQ59" s="479"/>
      <c r="BR59" s="479"/>
      <c r="BS59" s="479"/>
      <c r="BT59" s="479"/>
      <c r="BU59" s="479"/>
      <c r="BV59" s="479"/>
      <c r="BW59" s="479"/>
      <c r="BX59" s="479"/>
      <c r="BY59" s="479"/>
      <c r="BZ59" s="479"/>
      <c r="CA59" s="479"/>
      <c r="CB59" s="479"/>
      <c r="CC59" s="479"/>
    </row>
    <row r="60" spans="7:81" x14ac:dyDescent="0.3">
      <c r="G60" s="479"/>
      <c r="H60" s="479"/>
      <c r="I60" s="479"/>
      <c r="J60" s="479"/>
      <c r="K60" s="479"/>
      <c r="L60" s="479"/>
      <c r="M60" s="479"/>
      <c r="N60" s="479"/>
      <c r="O60" s="479"/>
      <c r="P60" s="479"/>
      <c r="Q60" s="479"/>
      <c r="R60" s="479"/>
      <c r="S60" s="479"/>
      <c r="T60" s="479"/>
      <c r="U60" s="479"/>
      <c r="V60" s="479"/>
      <c r="W60" s="479"/>
      <c r="X60" s="478"/>
      <c r="Y60" s="479"/>
      <c r="Z60" s="479"/>
      <c r="AA60" s="479"/>
      <c r="AB60" s="479"/>
      <c r="AC60" s="479"/>
      <c r="AD60" s="479"/>
      <c r="AE60" s="479"/>
      <c r="AF60" s="479"/>
      <c r="AG60" s="479"/>
      <c r="AH60" s="479"/>
      <c r="AI60" s="479"/>
      <c r="AJ60" s="479"/>
      <c r="AK60" s="479"/>
      <c r="AL60" s="479"/>
      <c r="AM60" s="479"/>
      <c r="AN60" s="479"/>
      <c r="AO60" s="479"/>
      <c r="AP60" s="479"/>
      <c r="AQ60" s="479"/>
      <c r="AR60" s="479"/>
      <c r="AS60" s="479"/>
      <c r="AT60" s="479"/>
      <c r="AU60" s="479"/>
      <c r="AV60" s="479"/>
      <c r="AW60" s="479"/>
      <c r="AX60" s="479"/>
      <c r="AY60" s="479"/>
      <c r="AZ60" s="479"/>
      <c r="BA60" s="479"/>
      <c r="BB60" s="479"/>
      <c r="BC60" s="479"/>
      <c r="BD60" s="479"/>
      <c r="BE60" s="479"/>
      <c r="BF60" s="479"/>
      <c r="BG60" s="479"/>
      <c r="BH60" s="479"/>
      <c r="BI60" s="479"/>
      <c r="BJ60" s="479"/>
      <c r="BK60" s="479"/>
      <c r="BL60" s="479"/>
      <c r="BM60" s="479"/>
      <c r="BN60" s="479"/>
      <c r="BO60" s="479"/>
      <c r="BP60" s="479"/>
      <c r="BQ60" s="479"/>
      <c r="BR60" s="479"/>
      <c r="BS60" s="479"/>
      <c r="BT60" s="479"/>
      <c r="BU60" s="479"/>
      <c r="BV60" s="479"/>
      <c r="BW60" s="479"/>
      <c r="BX60" s="479"/>
      <c r="BY60" s="479"/>
      <c r="BZ60" s="479"/>
      <c r="CA60" s="479"/>
      <c r="CB60" s="479"/>
      <c r="CC60" s="479"/>
    </row>
    <row r="61" spans="7:81" x14ac:dyDescent="0.3">
      <c r="G61" s="479"/>
      <c r="H61" s="479"/>
      <c r="I61" s="479"/>
      <c r="J61" s="479"/>
      <c r="K61" s="479"/>
      <c r="L61" s="479"/>
      <c r="M61" s="479"/>
      <c r="N61" s="479"/>
      <c r="O61" s="479"/>
      <c r="P61" s="479"/>
      <c r="Q61" s="479"/>
      <c r="R61" s="479"/>
      <c r="S61" s="479"/>
      <c r="T61" s="479"/>
      <c r="U61" s="479"/>
      <c r="V61" s="479"/>
      <c r="W61" s="479"/>
      <c r="X61" s="478"/>
      <c r="Y61" s="479"/>
      <c r="Z61" s="479"/>
      <c r="AA61" s="479"/>
      <c r="AB61" s="479"/>
      <c r="AC61" s="479"/>
      <c r="AD61" s="479"/>
      <c r="AE61" s="479"/>
      <c r="AF61" s="479"/>
      <c r="AG61" s="479"/>
      <c r="AH61" s="479"/>
      <c r="AI61" s="479"/>
      <c r="AJ61" s="479"/>
      <c r="AK61" s="479"/>
      <c r="AL61" s="479"/>
      <c r="AM61" s="479"/>
      <c r="AN61" s="479"/>
      <c r="AO61" s="479"/>
      <c r="AP61" s="479"/>
      <c r="AQ61" s="479"/>
      <c r="AR61" s="479"/>
      <c r="AS61" s="479"/>
      <c r="AT61" s="479"/>
      <c r="AU61" s="479"/>
      <c r="AV61" s="479"/>
      <c r="AW61" s="479"/>
      <c r="AX61" s="479"/>
      <c r="AY61" s="479"/>
      <c r="AZ61" s="479"/>
      <c r="BA61" s="479"/>
      <c r="BB61" s="479"/>
      <c r="BC61" s="479"/>
      <c r="BD61" s="479"/>
      <c r="BE61" s="479"/>
      <c r="BF61" s="479"/>
      <c r="BG61" s="479"/>
      <c r="BH61" s="479"/>
      <c r="BI61" s="479"/>
      <c r="BJ61" s="479"/>
      <c r="BK61" s="479"/>
      <c r="BL61" s="479"/>
      <c r="BM61" s="479"/>
      <c r="BN61" s="479"/>
      <c r="BO61" s="479"/>
      <c r="BP61" s="479"/>
      <c r="BQ61" s="479"/>
      <c r="BR61" s="479"/>
      <c r="BS61" s="479"/>
      <c r="BT61" s="479"/>
      <c r="BU61" s="479"/>
      <c r="BV61" s="479"/>
      <c r="BW61" s="479"/>
      <c r="BX61" s="479"/>
      <c r="BY61" s="479"/>
      <c r="BZ61" s="479"/>
      <c r="CA61" s="479"/>
      <c r="CB61" s="479"/>
      <c r="CC61" s="479"/>
    </row>
    <row r="62" spans="7:81" x14ac:dyDescent="0.3">
      <c r="G62" s="479"/>
      <c r="H62" s="479"/>
      <c r="I62" s="479"/>
      <c r="J62" s="479"/>
      <c r="K62" s="479"/>
      <c r="L62" s="479"/>
      <c r="M62" s="479"/>
      <c r="N62" s="479"/>
      <c r="O62" s="479"/>
      <c r="P62" s="479"/>
      <c r="Q62" s="479"/>
      <c r="R62" s="479"/>
      <c r="S62" s="479"/>
      <c r="T62" s="479"/>
      <c r="U62" s="479"/>
      <c r="V62" s="479"/>
      <c r="W62" s="479"/>
      <c r="X62" s="478"/>
      <c r="Y62" s="479"/>
      <c r="Z62" s="479"/>
      <c r="AA62" s="479"/>
      <c r="AB62" s="479"/>
      <c r="AC62" s="479"/>
      <c r="AD62" s="479"/>
      <c r="AE62" s="479"/>
      <c r="AF62" s="479"/>
      <c r="AG62" s="479"/>
      <c r="AH62" s="479"/>
      <c r="AI62" s="479"/>
      <c r="AJ62" s="479"/>
      <c r="AK62" s="479"/>
      <c r="AL62" s="479"/>
      <c r="AM62" s="479"/>
      <c r="AN62" s="479"/>
      <c r="AO62" s="479"/>
      <c r="AP62" s="479"/>
      <c r="AQ62" s="479"/>
      <c r="AR62" s="479"/>
      <c r="AS62" s="479"/>
      <c r="AT62" s="479"/>
      <c r="AU62" s="479"/>
      <c r="AV62" s="479"/>
      <c r="AW62" s="479"/>
      <c r="AX62" s="479"/>
      <c r="AY62" s="479"/>
      <c r="AZ62" s="479"/>
      <c r="BA62" s="479"/>
      <c r="BB62" s="479"/>
      <c r="BC62" s="479"/>
      <c r="BD62" s="479"/>
      <c r="BE62" s="479"/>
      <c r="BF62" s="479"/>
      <c r="BG62" s="479"/>
      <c r="BH62" s="479"/>
      <c r="BI62" s="479"/>
      <c r="BJ62" s="479"/>
      <c r="BK62" s="479"/>
      <c r="BL62" s="479"/>
      <c r="BM62" s="479"/>
      <c r="BN62" s="479"/>
      <c r="BO62" s="479"/>
      <c r="BP62" s="479"/>
      <c r="BQ62" s="479"/>
      <c r="BR62" s="479"/>
      <c r="BS62" s="479"/>
      <c r="BT62" s="479"/>
      <c r="BU62" s="479"/>
      <c r="BV62" s="479"/>
      <c r="BW62" s="479"/>
      <c r="BX62" s="479"/>
      <c r="BY62" s="479"/>
      <c r="BZ62" s="479"/>
      <c r="CA62" s="479"/>
      <c r="CB62" s="479"/>
      <c r="CC62" s="479"/>
    </row>
    <row r="63" spans="7:81" x14ac:dyDescent="0.3">
      <c r="G63" s="479"/>
      <c r="H63" s="479"/>
      <c r="I63" s="479"/>
      <c r="J63" s="479"/>
      <c r="K63" s="479"/>
      <c r="L63" s="479"/>
      <c r="M63" s="479"/>
      <c r="N63" s="479"/>
      <c r="O63" s="479"/>
      <c r="P63" s="479"/>
      <c r="Q63" s="479"/>
      <c r="R63" s="479"/>
      <c r="S63" s="479"/>
      <c r="T63" s="479"/>
      <c r="U63" s="479"/>
      <c r="V63" s="479"/>
      <c r="W63" s="479"/>
      <c r="X63" s="478"/>
      <c r="Y63" s="479"/>
      <c r="Z63" s="479"/>
      <c r="AA63" s="479"/>
      <c r="AB63" s="479"/>
      <c r="AC63" s="479"/>
      <c r="AD63" s="479"/>
      <c r="AE63" s="479"/>
      <c r="AF63" s="479"/>
      <c r="AG63" s="479"/>
      <c r="AH63" s="479"/>
      <c r="AI63" s="479"/>
      <c r="AJ63" s="479"/>
      <c r="AK63" s="479"/>
      <c r="AL63" s="479"/>
      <c r="AM63" s="479"/>
      <c r="AN63" s="479"/>
      <c r="AO63" s="479"/>
      <c r="AP63" s="479"/>
      <c r="AQ63" s="479"/>
      <c r="AR63" s="479"/>
      <c r="AS63" s="479"/>
      <c r="AT63" s="479"/>
      <c r="AU63" s="479"/>
      <c r="AV63" s="479"/>
      <c r="AW63" s="479"/>
      <c r="AX63" s="479"/>
      <c r="AY63" s="479"/>
      <c r="AZ63" s="479"/>
      <c r="BA63" s="479"/>
      <c r="BB63" s="479"/>
      <c r="BC63" s="479"/>
      <c r="BD63" s="479"/>
      <c r="BE63" s="479"/>
      <c r="BF63" s="479"/>
      <c r="BG63" s="479"/>
      <c r="BH63" s="479"/>
      <c r="BI63" s="479"/>
      <c r="BJ63" s="479"/>
      <c r="BK63" s="479"/>
      <c r="BL63" s="479"/>
      <c r="BM63" s="479"/>
      <c r="BN63" s="479"/>
      <c r="BO63" s="479"/>
      <c r="BP63" s="479"/>
      <c r="BQ63" s="479"/>
      <c r="BR63" s="479"/>
      <c r="BS63" s="479"/>
      <c r="BT63" s="479"/>
      <c r="BU63" s="479"/>
      <c r="BV63" s="479"/>
      <c r="BW63" s="479"/>
      <c r="BX63" s="479"/>
      <c r="BY63" s="479"/>
      <c r="BZ63" s="479"/>
      <c r="CA63" s="479"/>
      <c r="CB63" s="479"/>
      <c r="CC63" s="479"/>
    </row>
    <row r="64" spans="7:81" x14ac:dyDescent="0.3">
      <c r="G64" s="479"/>
      <c r="H64" s="479"/>
      <c r="I64" s="479"/>
      <c r="J64" s="479"/>
      <c r="K64" s="479"/>
      <c r="L64" s="479"/>
      <c r="M64" s="479"/>
      <c r="N64" s="479"/>
      <c r="O64" s="479"/>
      <c r="P64" s="479"/>
      <c r="Q64" s="479"/>
      <c r="R64" s="479"/>
      <c r="S64" s="479"/>
      <c r="T64" s="479"/>
      <c r="U64" s="479"/>
      <c r="V64" s="479"/>
      <c r="W64" s="479"/>
      <c r="X64" s="478"/>
      <c r="Y64" s="479"/>
      <c r="Z64" s="479"/>
      <c r="AA64" s="479"/>
      <c r="AB64" s="479"/>
      <c r="AC64" s="479"/>
      <c r="AD64" s="479"/>
      <c r="AE64" s="479"/>
      <c r="AF64" s="479"/>
      <c r="AG64" s="479"/>
      <c r="AH64" s="479"/>
      <c r="AI64" s="479"/>
      <c r="AJ64" s="479"/>
      <c r="AK64" s="479"/>
      <c r="AL64" s="479"/>
      <c r="AM64" s="479"/>
      <c r="AN64" s="479"/>
      <c r="AO64" s="479"/>
      <c r="AP64" s="479"/>
      <c r="AQ64" s="479"/>
      <c r="AR64" s="479"/>
      <c r="AS64" s="479"/>
      <c r="AT64" s="479"/>
      <c r="AU64" s="479"/>
      <c r="AV64" s="479"/>
      <c r="AW64" s="479"/>
      <c r="AX64" s="479"/>
      <c r="AY64" s="479"/>
      <c r="AZ64" s="479"/>
      <c r="BA64" s="479"/>
      <c r="BB64" s="479"/>
      <c r="BC64" s="479"/>
      <c r="BD64" s="479"/>
      <c r="BE64" s="479"/>
      <c r="BF64" s="479"/>
      <c r="BG64" s="479"/>
      <c r="BH64" s="479"/>
      <c r="BI64" s="479"/>
      <c r="BJ64" s="479"/>
      <c r="BK64" s="479"/>
      <c r="BL64" s="479"/>
      <c r="BM64" s="479"/>
      <c r="BN64" s="479"/>
      <c r="BO64" s="479"/>
      <c r="BP64" s="479"/>
      <c r="BQ64" s="479"/>
      <c r="BR64" s="479"/>
      <c r="BS64" s="479"/>
      <c r="BT64" s="479"/>
      <c r="BU64" s="479"/>
      <c r="BV64" s="479"/>
      <c r="BW64" s="479"/>
      <c r="BX64" s="479"/>
      <c r="BY64" s="479"/>
      <c r="BZ64" s="479"/>
      <c r="CA64" s="479"/>
      <c r="CB64" s="479"/>
      <c r="CC64" s="479"/>
    </row>
    <row r="65" spans="7:81" x14ac:dyDescent="0.3">
      <c r="G65" s="479"/>
      <c r="H65" s="479"/>
      <c r="I65" s="479"/>
      <c r="J65" s="479"/>
      <c r="K65" s="479"/>
      <c r="L65" s="479"/>
      <c r="M65" s="479"/>
      <c r="N65" s="479"/>
      <c r="O65" s="479"/>
      <c r="P65" s="479"/>
      <c r="Q65" s="479"/>
      <c r="R65" s="479"/>
      <c r="S65" s="479"/>
      <c r="T65" s="479"/>
      <c r="U65" s="479"/>
      <c r="V65" s="479"/>
      <c r="W65" s="479"/>
      <c r="X65" s="478"/>
      <c r="Y65" s="479"/>
      <c r="Z65" s="479"/>
      <c r="AA65" s="479"/>
      <c r="AB65" s="479"/>
      <c r="AC65" s="479"/>
      <c r="AD65" s="479"/>
      <c r="AE65" s="479"/>
      <c r="AF65" s="479"/>
      <c r="AG65" s="479"/>
      <c r="AH65" s="479"/>
      <c r="AI65" s="479"/>
      <c r="AJ65" s="479"/>
      <c r="AK65" s="479"/>
      <c r="AL65" s="479"/>
      <c r="AM65" s="479"/>
      <c r="AN65" s="479"/>
      <c r="AO65" s="479"/>
      <c r="AP65" s="479"/>
      <c r="AQ65" s="479"/>
      <c r="AR65" s="479"/>
      <c r="AS65" s="479"/>
      <c r="AT65" s="479"/>
      <c r="AU65" s="479"/>
      <c r="AV65" s="479"/>
      <c r="AW65" s="479"/>
      <c r="AX65" s="479"/>
      <c r="AY65" s="479"/>
      <c r="AZ65" s="479"/>
      <c r="BA65" s="479"/>
      <c r="BB65" s="479"/>
      <c r="BC65" s="479"/>
      <c r="BD65" s="479"/>
      <c r="BE65" s="479"/>
      <c r="BF65" s="479"/>
      <c r="BG65" s="479"/>
      <c r="BH65" s="479"/>
      <c r="BI65" s="479"/>
      <c r="BJ65" s="479"/>
      <c r="BK65" s="479"/>
      <c r="BL65" s="479"/>
      <c r="BM65" s="479"/>
      <c r="BN65" s="479"/>
      <c r="BO65" s="479"/>
      <c r="BP65" s="479"/>
      <c r="BQ65" s="479"/>
      <c r="BR65" s="479"/>
      <c r="BS65" s="479"/>
      <c r="BT65" s="479"/>
      <c r="BU65" s="479"/>
      <c r="BV65" s="479"/>
      <c r="BW65" s="479"/>
      <c r="BX65" s="479"/>
      <c r="BY65" s="479"/>
      <c r="BZ65" s="479"/>
      <c r="CA65" s="479"/>
      <c r="CB65" s="479"/>
      <c r="CC65" s="479"/>
    </row>
    <row r="66" spans="7:81" x14ac:dyDescent="0.3">
      <c r="G66" s="479"/>
      <c r="H66" s="479"/>
      <c r="I66" s="479"/>
      <c r="J66" s="479"/>
      <c r="K66" s="479"/>
      <c r="L66" s="479"/>
      <c r="M66" s="479"/>
      <c r="N66" s="479"/>
      <c r="O66" s="479"/>
      <c r="P66" s="479"/>
      <c r="Q66" s="479"/>
      <c r="R66" s="479"/>
      <c r="S66" s="479"/>
      <c r="T66" s="479"/>
      <c r="U66" s="479"/>
      <c r="V66" s="479"/>
      <c r="W66" s="479"/>
      <c r="X66" s="478"/>
      <c r="Y66" s="479"/>
      <c r="Z66" s="479"/>
      <c r="AA66" s="479"/>
      <c r="AB66" s="479"/>
      <c r="AC66" s="479"/>
      <c r="AD66" s="479"/>
      <c r="AE66" s="479"/>
      <c r="AF66" s="479"/>
      <c r="AG66" s="479"/>
      <c r="AH66" s="479"/>
      <c r="AI66" s="479"/>
      <c r="AJ66" s="479"/>
      <c r="AK66" s="479"/>
      <c r="AL66" s="479"/>
      <c r="AM66" s="479"/>
      <c r="AN66" s="479"/>
      <c r="AO66" s="479"/>
      <c r="AP66" s="479"/>
      <c r="AQ66" s="479"/>
      <c r="AR66" s="479"/>
      <c r="AS66" s="479"/>
      <c r="AT66" s="479"/>
      <c r="AU66" s="479"/>
      <c r="AV66" s="479"/>
      <c r="AW66" s="479"/>
      <c r="AX66" s="479"/>
      <c r="AY66" s="479"/>
      <c r="AZ66" s="479"/>
      <c r="BA66" s="479"/>
      <c r="BB66" s="479"/>
      <c r="BC66" s="479"/>
      <c r="BD66" s="479"/>
      <c r="BE66" s="479"/>
      <c r="BF66" s="479"/>
      <c r="BG66" s="479"/>
      <c r="BH66" s="479"/>
      <c r="BI66" s="479"/>
      <c r="BJ66" s="479"/>
      <c r="BK66" s="479"/>
      <c r="BL66" s="479"/>
      <c r="BM66" s="479"/>
      <c r="BN66" s="479"/>
      <c r="BO66" s="479"/>
      <c r="BP66" s="479"/>
      <c r="BQ66" s="479"/>
      <c r="BR66" s="479"/>
      <c r="BS66" s="479"/>
      <c r="BT66" s="479"/>
      <c r="BU66" s="479"/>
      <c r="BV66" s="479"/>
      <c r="BW66" s="479"/>
      <c r="BX66" s="479"/>
      <c r="BY66" s="479"/>
      <c r="BZ66" s="479"/>
      <c r="CA66" s="479"/>
      <c r="CB66" s="479"/>
      <c r="CC66" s="479"/>
    </row>
    <row r="67" spans="7:81" x14ac:dyDescent="0.3">
      <c r="G67" s="479"/>
      <c r="H67" s="479"/>
      <c r="I67" s="479"/>
      <c r="J67" s="479"/>
      <c r="K67" s="479"/>
      <c r="L67" s="479"/>
      <c r="M67" s="479"/>
      <c r="N67" s="479"/>
      <c r="O67" s="479"/>
      <c r="P67" s="479"/>
      <c r="Q67" s="479"/>
      <c r="R67" s="479"/>
      <c r="S67" s="479"/>
      <c r="T67" s="479"/>
      <c r="U67" s="479"/>
      <c r="V67" s="479"/>
      <c r="W67" s="479"/>
      <c r="X67" s="478"/>
      <c r="Y67" s="479"/>
      <c r="Z67" s="479"/>
      <c r="AA67" s="479"/>
      <c r="AB67" s="479"/>
      <c r="AC67" s="479"/>
      <c r="AD67" s="479"/>
      <c r="AE67" s="479"/>
      <c r="AF67" s="479"/>
      <c r="AG67" s="479"/>
      <c r="AH67" s="479"/>
      <c r="AI67" s="479"/>
      <c r="AJ67" s="479"/>
      <c r="AK67" s="479"/>
      <c r="AL67" s="479"/>
      <c r="AM67" s="479"/>
      <c r="AN67" s="479"/>
      <c r="AO67" s="479"/>
      <c r="AP67" s="479"/>
      <c r="AQ67" s="479"/>
      <c r="AR67" s="479"/>
      <c r="AS67" s="479"/>
      <c r="AT67" s="479"/>
      <c r="AU67" s="479"/>
      <c r="AV67" s="479"/>
      <c r="AW67" s="479"/>
      <c r="AX67" s="479"/>
      <c r="AY67" s="479"/>
      <c r="AZ67" s="479"/>
      <c r="BA67" s="479"/>
      <c r="BB67" s="479"/>
      <c r="BC67" s="479"/>
      <c r="BD67" s="479"/>
      <c r="BE67" s="479"/>
      <c r="BF67" s="479"/>
      <c r="BG67" s="479"/>
      <c r="BH67" s="479"/>
      <c r="BI67" s="479"/>
      <c r="BJ67" s="479"/>
      <c r="BK67" s="479"/>
      <c r="BL67" s="479"/>
      <c r="BM67" s="479"/>
      <c r="BN67" s="479"/>
      <c r="BO67" s="479"/>
      <c r="BP67" s="479"/>
      <c r="BQ67" s="479"/>
      <c r="BR67" s="479"/>
      <c r="BS67" s="479"/>
      <c r="BT67" s="479"/>
      <c r="BU67" s="479"/>
      <c r="BV67" s="479"/>
      <c r="BW67" s="479"/>
      <c r="BX67" s="479"/>
      <c r="BY67" s="479"/>
      <c r="BZ67" s="479"/>
      <c r="CA67" s="479"/>
      <c r="CB67" s="479"/>
      <c r="CC67" s="479"/>
    </row>
    <row r="68" spans="7:81" x14ac:dyDescent="0.3">
      <c r="G68" s="479"/>
      <c r="H68" s="479"/>
      <c r="I68" s="479"/>
      <c r="J68" s="479"/>
      <c r="K68" s="479"/>
      <c r="L68" s="479"/>
      <c r="M68" s="479"/>
      <c r="N68" s="479"/>
      <c r="O68" s="479"/>
      <c r="P68" s="479"/>
      <c r="Q68" s="479"/>
      <c r="R68" s="479"/>
      <c r="S68" s="479"/>
      <c r="T68" s="479"/>
      <c r="U68" s="479"/>
      <c r="V68" s="479"/>
      <c r="W68" s="479"/>
      <c r="X68" s="478"/>
      <c r="Y68" s="479"/>
      <c r="Z68" s="479"/>
      <c r="AA68" s="479"/>
      <c r="AB68" s="479"/>
      <c r="AC68" s="479"/>
      <c r="AD68" s="479"/>
      <c r="AE68" s="479"/>
      <c r="AF68" s="479"/>
      <c r="AG68" s="479"/>
      <c r="AH68" s="479"/>
      <c r="AI68" s="479"/>
      <c r="AJ68" s="479"/>
      <c r="AK68" s="479"/>
      <c r="AL68" s="479"/>
      <c r="AM68" s="479"/>
      <c r="AN68" s="479"/>
      <c r="AO68" s="479"/>
      <c r="AP68" s="479"/>
      <c r="AQ68" s="479"/>
      <c r="AR68" s="479"/>
      <c r="AS68" s="479"/>
      <c r="AT68" s="479"/>
      <c r="AU68" s="479"/>
      <c r="AV68" s="479"/>
      <c r="AW68" s="479"/>
      <c r="AX68" s="479"/>
      <c r="AY68" s="479"/>
      <c r="AZ68" s="479"/>
      <c r="BA68" s="479"/>
      <c r="BB68" s="479"/>
      <c r="BC68" s="479"/>
      <c r="BD68" s="479"/>
      <c r="BE68" s="479"/>
      <c r="BF68" s="479"/>
      <c r="BG68" s="479"/>
      <c r="BH68" s="479"/>
      <c r="BI68" s="479"/>
      <c r="BJ68" s="479"/>
      <c r="BK68" s="479"/>
      <c r="BL68" s="479"/>
      <c r="BM68" s="479"/>
      <c r="BN68" s="479"/>
      <c r="BO68" s="479"/>
      <c r="BP68" s="479"/>
      <c r="BQ68" s="479"/>
      <c r="BR68" s="479"/>
      <c r="BS68" s="479"/>
      <c r="BT68" s="479"/>
      <c r="BU68" s="479"/>
      <c r="BV68" s="479"/>
      <c r="BW68" s="479"/>
      <c r="BX68" s="479"/>
      <c r="BY68" s="479"/>
      <c r="BZ68" s="479"/>
      <c r="CA68" s="479"/>
      <c r="CB68" s="479"/>
      <c r="CC68" s="479"/>
    </row>
    <row r="69" spans="7:81" x14ac:dyDescent="0.3">
      <c r="G69" s="479"/>
      <c r="H69" s="479"/>
      <c r="I69" s="479"/>
      <c r="J69" s="479"/>
      <c r="K69" s="479"/>
      <c r="L69" s="479"/>
      <c r="M69" s="479"/>
      <c r="N69" s="479"/>
      <c r="O69" s="479"/>
      <c r="P69" s="479"/>
      <c r="Q69" s="479"/>
      <c r="R69" s="479"/>
      <c r="S69" s="479"/>
      <c r="T69" s="479"/>
      <c r="U69" s="479"/>
      <c r="V69" s="479"/>
      <c r="W69" s="479"/>
      <c r="X69" s="478"/>
      <c r="Y69" s="479"/>
      <c r="Z69" s="479"/>
      <c r="AA69" s="479"/>
      <c r="AB69" s="479"/>
      <c r="AC69" s="479"/>
      <c r="AD69" s="479"/>
      <c r="AE69" s="479"/>
      <c r="AF69" s="479"/>
      <c r="AG69" s="479"/>
      <c r="AH69" s="479"/>
      <c r="AI69" s="479"/>
      <c r="AJ69" s="479"/>
      <c r="AK69" s="479"/>
      <c r="AL69" s="479"/>
      <c r="AM69" s="479"/>
      <c r="AN69" s="479"/>
      <c r="AO69" s="479"/>
      <c r="AP69" s="479"/>
      <c r="AQ69" s="479"/>
      <c r="AR69" s="479"/>
      <c r="AS69" s="479"/>
      <c r="AT69" s="479"/>
      <c r="AU69" s="479"/>
      <c r="AV69" s="479"/>
      <c r="AW69" s="479"/>
      <c r="AX69" s="479"/>
      <c r="AY69" s="479"/>
      <c r="AZ69" s="479"/>
      <c r="BA69" s="479"/>
      <c r="BB69" s="479"/>
      <c r="BC69" s="479"/>
      <c r="BD69" s="479"/>
      <c r="BE69" s="479"/>
      <c r="BF69" s="479"/>
      <c r="BG69" s="479"/>
      <c r="BH69" s="479"/>
      <c r="BI69" s="479"/>
      <c r="BJ69" s="479"/>
      <c r="BK69" s="479"/>
      <c r="BL69" s="479"/>
      <c r="BM69" s="479"/>
      <c r="BN69" s="479"/>
      <c r="BO69" s="479"/>
      <c r="BP69" s="479"/>
      <c r="BQ69" s="479"/>
      <c r="BR69" s="479"/>
      <c r="BS69" s="479"/>
      <c r="BT69" s="479"/>
      <c r="BU69" s="479"/>
      <c r="BV69" s="479"/>
      <c r="BW69" s="479"/>
      <c r="BX69" s="479"/>
      <c r="BY69" s="479"/>
      <c r="BZ69" s="479"/>
      <c r="CA69" s="479"/>
      <c r="CB69" s="479"/>
      <c r="CC69" s="479"/>
    </row>
    <row r="70" spans="7:81" x14ac:dyDescent="0.3">
      <c r="G70" s="479"/>
      <c r="H70" s="479"/>
      <c r="I70" s="479"/>
      <c r="J70" s="479"/>
      <c r="K70" s="479"/>
      <c r="L70" s="479"/>
      <c r="M70" s="479"/>
      <c r="N70" s="479"/>
      <c r="O70" s="479"/>
      <c r="P70" s="479"/>
      <c r="Q70" s="479"/>
      <c r="R70" s="479"/>
      <c r="S70" s="479"/>
      <c r="T70" s="479"/>
      <c r="U70" s="479"/>
      <c r="V70" s="479"/>
      <c r="W70" s="479"/>
      <c r="X70" s="478"/>
      <c r="Y70" s="479"/>
      <c r="Z70" s="479"/>
      <c r="AA70" s="479"/>
      <c r="AB70" s="479"/>
      <c r="AC70" s="479"/>
      <c r="AD70" s="479"/>
      <c r="AE70" s="479"/>
      <c r="AF70" s="479"/>
      <c r="AG70" s="479"/>
      <c r="AH70" s="479"/>
      <c r="AI70" s="479"/>
      <c r="AJ70" s="479"/>
      <c r="AK70" s="479"/>
      <c r="AL70" s="479"/>
      <c r="AM70" s="479"/>
      <c r="AN70" s="479"/>
      <c r="AO70" s="479"/>
      <c r="AP70" s="479"/>
      <c r="AQ70" s="479"/>
      <c r="AR70" s="479"/>
      <c r="AS70" s="479"/>
      <c r="AT70" s="479"/>
      <c r="AU70" s="479"/>
      <c r="AV70" s="479"/>
      <c r="AW70" s="479"/>
      <c r="AX70" s="479"/>
      <c r="AY70" s="479"/>
      <c r="AZ70" s="479"/>
      <c r="BA70" s="479"/>
      <c r="BB70" s="479"/>
      <c r="BC70" s="479"/>
      <c r="BD70" s="479"/>
      <c r="BE70" s="479"/>
      <c r="BF70" s="479"/>
      <c r="BG70" s="479"/>
      <c r="BH70" s="479"/>
      <c r="BI70" s="479"/>
      <c r="BJ70" s="479"/>
      <c r="BK70" s="479"/>
      <c r="BL70" s="479"/>
      <c r="BM70" s="479"/>
      <c r="BN70" s="479"/>
      <c r="BO70" s="479"/>
      <c r="BP70" s="479"/>
      <c r="BQ70" s="479"/>
      <c r="BR70" s="479"/>
      <c r="BS70" s="479"/>
      <c r="BT70" s="479"/>
      <c r="BU70" s="479"/>
      <c r="BV70" s="479"/>
      <c r="BW70" s="479"/>
      <c r="BX70" s="479"/>
      <c r="BY70" s="479"/>
      <c r="BZ70" s="479"/>
      <c r="CA70" s="479"/>
      <c r="CB70" s="479"/>
      <c r="CC70" s="479"/>
    </row>
    <row r="71" spans="7:81" x14ac:dyDescent="0.3">
      <c r="G71" s="479"/>
      <c r="H71" s="479"/>
      <c r="I71" s="479"/>
      <c r="J71" s="479"/>
      <c r="K71" s="479"/>
      <c r="L71" s="479"/>
      <c r="M71" s="479"/>
      <c r="N71" s="479"/>
      <c r="O71" s="479"/>
      <c r="P71" s="479"/>
      <c r="Q71" s="479"/>
      <c r="R71" s="479"/>
      <c r="S71" s="479"/>
      <c r="T71" s="479"/>
      <c r="U71" s="479"/>
      <c r="V71" s="479"/>
      <c r="W71" s="479"/>
      <c r="X71" s="478"/>
      <c r="Y71" s="479"/>
      <c r="Z71" s="479"/>
      <c r="AA71" s="479"/>
      <c r="AB71" s="479"/>
      <c r="AC71" s="479"/>
      <c r="AD71" s="479"/>
      <c r="AE71" s="479"/>
      <c r="AF71" s="479"/>
      <c r="AG71" s="479"/>
      <c r="AH71" s="479"/>
      <c r="AI71" s="479"/>
      <c r="AJ71" s="479"/>
      <c r="AK71" s="479"/>
      <c r="AL71" s="479"/>
      <c r="AM71" s="479"/>
      <c r="AN71" s="479"/>
      <c r="AO71" s="479"/>
      <c r="AP71" s="479"/>
      <c r="AQ71" s="479"/>
      <c r="AR71" s="479"/>
      <c r="AS71" s="479"/>
      <c r="AT71" s="479"/>
      <c r="AU71" s="479"/>
      <c r="AV71" s="479"/>
      <c r="AW71" s="479"/>
      <c r="AX71" s="479"/>
      <c r="AY71" s="479"/>
      <c r="AZ71" s="479"/>
      <c r="BA71" s="479"/>
      <c r="BB71" s="479"/>
      <c r="BC71" s="479"/>
      <c r="BD71" s="479"/>
      <c r="BE71" s="479"/>
      <c r="BF71" s="479"/>
      <c r="BG71" s="479"/>
      <c r="BH71" s="479"/>
      <c r="BI71" s="479"/>
      <c r="BJ71" s="479"/>
      <c r="BK71" s="479"/>
      <c r="BL71" s="479"/>
      <c r="BM71" s="479"/>
      <c r="BN71" s="479"/>
      <c r="BO71" s="479"/>
      <c r="BP71" s="479"/>
      <c r="BQ71" s="479"/>
      <c r="BR71" s="479"/>
      <c r="BS71" s="479"/>
      <c r="BT71" s="479"/>
      <c r="BU71" s="479"/>
      <c r="BV71" s="479"/>
      <c r="BW71" s="479"/>
      <c r="BX71" s="479"/>
      <c r="BY71" s="479"/>
      <c r="BZ71" s="479"/>
      <c r="CA71" s="479"/>
      <c r="CB71" s="479"/>
      <c r="CC71" s="479"/>
    </row>
    <row r="72" spans="7:81" x14ac:dyDescent="0.3">
      <c r="G72" s="479"/>
      <c r="H72" s="479"/>
      <c r="I72" s="479"/>
      <c r="J72" s="479"/>
      <c r="K72" s="479"/>
      <c r="L72" s="479"/>
      <c r="M72" s="479"/>
      <c r="N72" s="479"/>
      <c r="O72" s="479"/>
      <c r="P72" s="479"/>
      <c r="Q72" s="479"/>
      <c r="R72" s="479"/>
      <c r="S72" s="479"/>
      <c r="T72" s="479"/>
      <c r="U72" s="479"/>
      <c r="V72" s="479"/>
      <c r="W72" s="479"/>
      <c r="X72" s="478"/>
      <c r="Y72" s="479"/>
      <c r="Z72" s="479"/>
      <c r="AA72" s="479"/>
      <c r="AB72" s="479"/>
      <c r="AC72" s="479"/>
      <c r="AD72" s="479"/>
      <c r="AE72" s="479"/>
      <c r="AF72" s="479"/>
      <c r="AG72" s="479"/>
      <c r="AH72" s="479"/>
      <c r="AI72" s="479"/>
      <c r="AJ72" s="479"/>
      <c r="AK72" s="479"/>
      <c r="AL72" s="479"/>
      <c r="AM72" s="479"/>
      <c r="AN72" s="479"/>
      <c r="AO72" s="479"/>
      <c r="AP72" s="479"/>
      <c r="AQ72" s="479"/>
      <c r="AR72" s="479"/>
      <c r="AS72" s="479"/>
      <c r="AT72" s="479"/>
      <c r="AU72" s="479"/>
      <c r="AV72" s="479"/>
      <c r="AW72" s="479"/>
      <c r="AX72" s="479"/>
      <c r="AY72" s="479"/>
      <c r="AZ72" s="479"/>
      <c r="BA72" s="479"/>
      <c r="BB72" s="479"/>
      <c r="BC72" s="479"/>
      <c r="BD72" s="479"/>
      <c r="BE72" s="479"/>
      <c r="BF72" s="479"/>
      <c r="BG72" s="479"/>
      <c r="BH72" s="479"/>
      <c r="BI72" s="479"/>
      <c r="BJ72" s="479"/>
      <c r="BK72" s="479"/>
      <c r="BL72" s="479"/>
      <c r="BM72" s="479"/>
      <c r="BN72" s="479"/>
      <c r="BO72" s="479"/>
      <c r="BP72" s="479"/>
      <c r="BQ72" s="479"/>
      <c r="BR72" s="479"/>
      <c r="BS72" s="479"/>
      <c r="BT72" s="479"/>
      <c r="BU72" s="479"/>
      <c r="BV72" s="479"/>
      <c r="BW72" s="479"/>
      <c r="BX72" s="479"/>
      <c r="BY72" s="479"/>
      <c r="BZ72" s="479"/>
      <c r="CA72" s="479"/>
      <c r="CB72" s="479"/>
      <c r="CC72" s="479"/>
    </row>
    <row r="73" spans="7:81" x14ac:dyDescent="0.3">
      <c r="G73" s="479"/>
      <c r="H73" s="479"/>
      <c r="I73" s="479"/>
      <c r="J73" s="479"/>
      <c r="K73" s="479"/>
      <c r="L73" s="479"/>
      <c r="M73" s="479"/>
      <c r="N73" s="479"/>
      <c r="O73" s="479"/>
      <c r="P73" s="479"/>
      <c r="Q73" s="479"/>
      <c r="R73" s="479"/>
      <c r="S73" s="479"/>
      <c r="T73" s="479"/>
      <c r="U73" s="479"/>
      <c r="V73" s="479"/>
      <c r="W73" s="479"/>
      <c r="X73" s="478"/>
      <c r="Y73" s="479"/>
      <c r="Z73" s="479"/>
      <c r="AA73" s="479"/>
      <c r="AB73" s="479"/>
      <c r="AC73" s="479"/>
      <c r="AD73" s="479"/>
      <c r="AE73" s="479"/>
      <c r="AF73" s="479"/>
      <c r="AG73" s="479"/>
      <c r="AH73" s="479"/>
      <c r="AI73" s="479"/>
      <c r="AJ73" s="479"/>
      <c r="AK73" s="479"/>
      <c r="AL73" s="479"/>
      <c r="AM73" s="479"/>
      <c r="AN73" s="479"/>
      <c r="AO73" s="479"/>
      <c r="AP73" s="479"/>
      <c r="AQ73" s="479"/>
      <c r="AR73" s="479"/>
      <c r="AS73" s="479"/>
      <c r="AT73" s="479"/>
      <c r="AU73" s="479"/>
      <c r="AV73" s="479"/>
      <c r="AW73" s="479"/>
      <c r="AX73" s="479"/>
      <c r="AY73" s="479"/>
      <c r="AZ73" s="479"/>
      <c r="BA73" s="479"/>
      <c r="BB73" s="479"/>
      <c r="BC73" s="479"/>
      <c r="BD73" s="479"/>
      <c r="BE73" s="479"/>
      <c r="BF73" s="479"/>
      <c r="BG73" s="479"/>
      <c r="BH73" s="479"/>
      <c r="BI73" s="479"/>
      <c r="BJ73" s="479"/>
      <c r="BK73" s="479"/>
      <c r="BL73" s="479"/>
      <c r="BM73" s="479"/>
      <c r="BN73" s="479"/>
      <c r="BO73" s="479"/>
      <c r="BP73" s="479"/>
      <c r="BQ73" s="479"/>
      <c r="BR73" s="479"/>
      <c r="BS73" s="479"/>
      <c r="BT73" s="479"/>
      <c r="BU73" s="479"/>
      <c r="BV73" s="479"/>
      <c r="BW73" s="479"/>
      <c r="BX73" s="479"/>
      <c r="BY73" s="479"/>
      <c r="BZ73" s="479"/>
      <c r="CA73" s="479"/>
      <c r="CB73" s="479"/>
      <c r="CC73" s="479"/>
    </row>
    <row r="74" spans="7:81" x14ac:dyDescent="0.3">
      <c r="G74" s="479"/>
      <c r="H74" s="479"/>
      <c r="I74" s="479"/>
      <c r="J74" s="479"/>
      <c r="K74" s="479"/>
      <c r="L74" s="479"/>
      <c r="M74" s="479"/>
      <c r="N74" s="479"/>
      <c r="O74" s="479"/>
      <c r="P74" s="479"/>
      <c r="Q74" s="479"/>
      <c r="R74" s="479"/>
      <c r="S74" s="479"/>
      <c r="T74" s="479"/>
      <c r="U74" s="479"/>
      <c r="V74" s="479"/>
      <c r="W74" s="479"/>
      <c r="X74" s="478"/>
      <c r="Y74" s="479"/>
      <c r="Z74" s="479"/>
      <c r="AA74" s="479"/>
      <c r="AB74" s="479"/>
      <c r="AC74" s="479"/>
      <c r="AD74" s="479"/>
      <c r="AE74" s="479"/>
      <c r="AF74" s="479"/>
      <c r="AG74" s="479"/>
      <c r="AH74" s="479"/>
      <c r="AI74" s="479"/>
      <c r="AJ74" s="479"/>
      <c r="AK74" s="479"/>
      <c r="AL74" s="479"/>
      <c r="AM74" s="479"/>
      <c r="AN74" s="479"/>
      <c r="AO74" s="479"/>
      <c r="AP74" s="479"/>
      <c r="AQ74" s="479"/>
      <c r="AR74" s="479"/>
      <c r="AS74" s="479"/>
      <c r="AT74" s="479"/>
      <c r="AU74" s="479"/>
      <c r="AV74" s="479"/>
      <c r="AW74" s="479"/>
      <c r="AX74" s="479"/>
      <c r="AY74" s="479"/>
      <c r="AZ74" s="479"/>
      <c r="BA74" s="479"/>
      <c r="BB74" s="479"/>
      <c r="BC74" s="479"/>
      <c r="BD74" s="479"/>
      <c r="BE74" s="479"/>
      <c r="BF74" s="479"/>
      <c r="BG74" s="479"/>
      <c r="BH74" s="479"/>
      <c r="BI74" s="479"/>
      <c r="BJ74" s="479"/>
      <c r="BK74" s="479"/>
      <c r="BL74" s="479"/>
      <c r="BM74" s="479"/>
      <c r="BN74" s="479"/>
      <c r="BO74" s="479"/>
      <c r="BP74" s="479"/>
      <c r="BQ74" s="479"/>
      <c r="BR74" s="479"/>
      <c r="BS74" s="479"/>
      <c r="BT74" s="479"/>
      <c r="BU74" s="479"/>
      <c r="BV74" s="479"/>
      <c r="BW74" s="479"/>
      <c r="BX74" s="479"/>
      <c r="BY74" s="479"/>
      <c r="BZ74" s="479"/>
      <c r="CA74" s="479"/>
      <c r="CB74" s="479"/>
      <c r="CC74" s="479"/>
    </row>
    <row r="75" spans="7:81" x14ac:dyDescent="0.3">
      <c r="G75" s="479"/>
      <c r="H75" s="479"/>
      <c r="I75" s="479"/>
      <c r="J75" s="479"/>
      <c r="K75" s="479"/>
      <c r="L75" s="479"/>
      <c r="M75" s="479"/>
      <c r="N75" s="479"/>
      <c r="O75" s="479"/>
      <c r="P75" s="479"/>
      <c r="Q75" s="479"/>
      <c r="R75" s="479"/>
      <c r="S75" s="479"/>
      <c r="T75" s="479"/>
      <c r="U75" s="479"/>
      <c r="V75" s="479"/>
      <c r="W75" s="479"/>
      <c r="X75" s="478"/>
      <c r="Y75" s="479"/>
      <c r="Z75" s="479"/>
      <c r="AA75" s="479"/>
      <c r="AB75" s="479"/>
      <c r="AC75" s="479"/>
      <c r="AD75" s="479"/>
      <c r="AE75" s="479"/>
      <c r="AF75" s="479"/>
      <c r="AG75" s="479"/>
      <c r="AH75" s="479"/>
      <c r="AI75" s="479"/>
      <c r="AJ75" s="479"/>
      <c r="AK75" s="479"/>
      <c r="AL75" s="479"/>
      <c r="AM75" s="479"/>
      <c r="AN75" s="479"/>
      <c r="AO75" s="479"/>
      <c r="AP75" s="479"/>
      <c r="AQ75" s="479"/>
      <c r="AR75" s="479"/>
      <c r="AS75" s="479"/>
      <c r="AT75" s="479"/>
      <c r="AU75" s="479"/>
      <c r="AV75" s="479"/>
      <c r="AW75" s="479"/>
      <c r="AX75" s="479"/>
      <c r="AY75" s="479"/>
      <c r="AZ75" s="479"/>
      <c r="BA75" s="479"/>
      <c r="BB75" s="479"/>
      <c r="BC75" s="479"/>
      <c r="BD75" s="479"/>
      <c r="BE75" s="479"/>
      <c r="BF75" s="479"/>
      <c r="BG75" s="479"/>
      <c r="BH75" s="479"/>
      <c r="BI75" s="479"/>
      <c r="BJ75" s="479"/>
      <c r="BK75" s="479"/>
      <c r="BL75" s="479"/>
      <c r="BM75" s="479"/>
      <c r="BN75" s="479"/>
      <c r="BO75" s="479"/>
      <c r="BP75" s="479"/>
      <c r="BQ75" s="479"/>
      <c r="BR75" s="479"/>
      <c r="BS75" s="479"/>
      <c r="BT75" s="479"/>
      <c r="BU75" s="479"/>
      <c r="BV75" s="479"/>
      <c r="BW75" s="479"/>
      <c r="BX75" s="479"/>
      <c r="BY75" s="479"/>
      <c r="BZ75" s="479"/>
      <c r="CA75" s="479"/>
      <c r="CB75" s="479"/>
      <c r="CC75" s="479"/>
    </row>
    <row r="76" spans="7:81" x14ac:dyDescent="0.3">
      <c r="G76" s="479"/>
      <c r="H76" s="479"/>
      <c r="I76" s="479"/>
      <c r="J76" s="479"/>
      <c r="K76" s="479"/>
      <c r="L76" s="479"/>
      <c r="M76" s="479"/>
      <c r="N76" s="479"/>
      <c r="O76" s="479"/>
      <c r="P76" s="479"/>
      <c r="Q76" s="479"/>
      <c r="R76" s="479"/>
      <c r="S76" s="479"/>
      <c r="T76" s="479"/>
      <c r="U76" s="479"/>
      <c r="V76" s="479"/>
      <c r="W76" s="479"/>
      <c r="X76" s="478"/>
      <c r="Y76" s="479"/>
      <c r="Z76" s="479"/>
      <c r="AA76" s="479"/>
      <c r="AB76" s="479"/>
      <c r="AC76" s="479"/>
      <c r="AD76" s="479"/>
      <c r="AE76" s="479"/>
      <c r="AF76" s="479"/>
      <c r="AG76" s="479"/>
      <c r="AH76" s="479"/>
      <c r="AI76" s="479"/>
      <c r="AJ76" s="479"/>
      <c r="AK76" s="479"/>
      <c r="AL76" s="479"/>
      <c r="AM76" s="479"/>
      <c r="AN76" s="479"/>
      <c r="AO76" s="479"/>
      <c r="AP76" s="479"/>
      <c r="AQ76" s="479"/>
      <c r="AR76" s="479"/>
      <c r="AS76" s="479"/>
      <c r="AT76" s="479"/>
      <c r="AU76" s="479"/>
      <c r="AV76" s="479"/>
      <c r="AW76" s="479"/>
      <c r="AX76" s="479"/>
      <c r="AY76" s="479"/>
      <c r="AZ76" s="479"/>
      <c r="BA76" s="479"/>
      <c r="BB76" s="479"/>
      <c r="BC76" s="479"/>
      <c r="BD76" s="479"/>
      <c r="BE76" s="479"/>
      <c r="BF76" s="479"/>
      <c r="BG76" s="479"/>
      <c r="BH76" s="479"/>
      <c r="BI76" s="479"/>
      <c r="BJ76" s="479"/>
      <c r="BK76" s="479"/>
      <c r="BL76" s="479"/>
      <c r="BM76" s="479"/>
      <c r="BN76" s="479"/>
      <c r="BO76" s="479"/>
      <c r="BP76" s="479"/>
      <c r="BQ76" s="479"/>
      <c r="BR76" s="479"/>
      <c r="BS76" s="479"/>
      <c r="BT76" s="479"/>
      <c r="BU76" s="479"/>
      <c r="BV76" s="479"/>
      <c r="BW76" s="479"/>
      <c r="BX76" s="479"/>
      <c r="BY76" s="479"/>
      <c r="BZ76" s="479"/>
      <c r="CA76" s="479"/>
      <c r="CB76" s="479"/>
      <c r="CC76" s="479"/>
    </row>
    <row r="77" spans="7:81" x14ac:dyDescent="0.3">
      <c r="G77" s="479"/>
      <c r="H77" s="479"/>
      <c r="I77" s="479"/>
      <c r="J77" s="479"/>
      <c r="K77" s="479"/>
      <c r="L77" s="479"/>
      <c r="M77" s="479"/>
      <c r="N77" s="479"/>
      <c r="O77" s="479"/>
      <c r="P77" s="479"/>
      <c r="Q77" s="479"/>
      <c r="R77" s="479"/>
      <c r="S77" s="479"/>
      <c r="T77" s="479"/>
      <c r="U77" s="479"/>
      <c r="V77" s="479"/>
      <c r="W77" s="479"/>
      <c r="X77" s="478"/>
      <c r="Y77" s="479"/>
      <c r="Z77" s="479"/>
      <c r="AA77" s="479"/>
      <c r="AB77" s="479"/>
      <c r="AC77" s="479"/>
      <c r="AD77" s="479"/>
      <c r="AE77" s="479"/>
      <c r="AF77" s="479"/>
      <c r="AG77" s="479"/>
      <c r="AH77" s="479"/>
      <c r="AI77" s="479"/>
      <c r="AJ77" s="479"/>
      <c r="AK77" s="479"/>
      <c r="AL77" s="479"/>
      <c r="AM77" s="479"/>
      <c r="AN77" s="479"/>
      <c r="AO77" s="479"/>
      <c r="AP77" s="479"/>
      <c r="AQ77" s="479"/>
      <c r="AR77" s="479"/>
      <c r="AS77" s="479"/>
      <c r="AT77" s="479"/>
      <c r="AU77" s="479"/>
      <c r="AV77" s="479"/>
      <c r="AW77" s="479"/>
      <c r="AX77" s="479"/>
      <c r="AY77" s="479"/>
      <c r="AZ77" s="479"/>
      <c r="BA77" s="479"/>
      <c r="BB77" s="479"/>
      <c r="BC77" s="479"/>
      <c r="BD77" s="479"/>
      <c r="BE77" s="479"/>
      <c r="BF77" s="479"/>
      <c r="BG77" s="479"/>
      <c r="BH77" s="479"/>
      <c r="BI77" s="479"/>
      <c r="BJ77" s="479"/>
      <c r="BK77" s="479"/>
      <c r="BL77" s="479"/>
      <c r="BM77" s="479"/>
      <c r="BN77" s="479"/>
      <c r="BO77" s="479"/>
      <c r="BP77" s="479"/>
      <c r="BQ77" s="479"/>
      <c r="BR77" s="479"/>
      <c r="BS77" s="479"/>
      <c r="BT77" s="479"/>
      <c r="BU77" s="479"/>
      <c r="BV77" s="479"/>
      <c r="BW77" s="479"/>
      <c r="BX77" s="479"/>
      <c r="BY77" s="479"/>
      <c r="BZ77" s="479"/>
      <c r="CA77" s="479"/>
      <c r="CB77" s="479"/>
      <c r="CC77" s="479"/>
    </row>
    <row r="78" spans="7:81" x14ac:dyDescent="0.3">
      <c r="G78" s="479"/>
      <c r="H78" s="479"/>
      <c r="I78" s="479"/>
      <c r="J78" s="479"/>
      <c r="K78" s="479"/>
      <c r="L78" s="479"/>
      <c r="M78" s="479"/>
      <c r="N78" s="479"/>
      <c r="O78" s="479"/>
      <c r="P78" s="479"/>
      <c r="Q78" s="479"/>
      <c r="R78" s="479"/>
      <c r="S78" s="479"/>
      <c r="T78" s="479"/>
      <c r="U78" s="479"/>
      <c r="V78" s="479"/>
      <c r="W78" s="479"/>
      <c r="X78" s="478"/>
      <c r="Y78" s="479"/>
      <c r="Z78" s="479"/>
      <c r="AA78" s="479"/>
      <c r="AB78" s="479"/>
      <c r="AC78" s="479"/>
      <c r="AD78" s="479"/>
      <c r="AE78" s="479"/>
      <c r="AF78" s="479"/>
      <c r="AG78" s="479"/>
      <c r="AH78" s="479"/>
      <c r="AI78" s="479"/>
      <c r="AJ78" s="479"/>
      <c r="AK78" s="479"/>
      <c r="AL78" s="479"/>
      <c r="AM78" s="479"/>
      <c r="AN78" s="479"/>
      <c r="AO78" s="479"/>
      <c r="AP78" s="479"/>
      <c r="AQ78" s="479"/>
      <c r="AR78" s="479"/>
      <c r="AS78" s="479"/>
      <c r="AT78" s="479"/>
      <c r="AU78" s="479"/>
      <c r="AV78" s="479"/>
      <c r="AW78" s="479"/>
      <c r="AX78" s="479"/>
      <c r="AY78" s="479"/>
      <c r="AZ78" s="479"/>
      <c r="BA78" s="479"/>
      <c r="BB78" s="479"/>
      <c r="BC78" s="479"/>
      <c r="BD78" s="479"/>
      <c r="BE78" s="479"/>
      <c r="BF78" s="479"/>
      <c r="BG78" s="479"/>
      <c r="BH78" s="479"/>
      <c r="BI78" s="479"/>
      <c r="BJ78" s="479"/>
      <c r="BK78" s="479"/>
      <c r="BL78" s="479"/>
      <c r="BM78" s="479"/>
      <c r="BN78" s="479"/>
      <c r="BO78" s="479"/>
      <c r="BP78" s="479"/>
      <c r="BQ78" s="479"/>
      <c r="BR78" s="479"/>
      <c r="BS78" s="479"/>
      <c r="BT78" s="479"/>
      <c r="BU78" s="479"/>
      <c r="BV78" s="479"/>
      <c r="BW78" s="479"/>
      <c r="BX78" s="479"/>
      <c r="BY78" s="479"/>
      <c r="BZ78" s="479"/>
      <c r="CA78" s="479"/>
      <c r="CB78" s="479"/>
      <c r="CC78" s="479"/>
    </row>
    <row r="79" spans="7:81" x14ac:dyDescent="0.3">
      <c r="G79" s="479"/>
      <c r="H79" s="479"/>
      <c r="I79" s="479"/>
      <c r="J79" s="479"/>
      <c r="K79" s="479"/>
      <c r="L79" s="479"/>
      <c r="M79" s="479"/>
      <c r="N79" s="479"/>
      <c r="O79" s="479"/>
      <c r="P79" s="479"/>
      <c r="Q79" s="479"/>
      <c r="R79" s="479"/>
      <c r="S79" s="479"/>
      <c r="T79" s="479"/>
      <c r="U79" s="479"/>
      <c r="V79" s="479"/>
      <c r="W79" s="479"/>
      <c r="X79" s="478"/>
      <c r="Y79" s="479"/>
      <c r="Z79" s="479"/>
      <c r="AA79" s="479"/>
      <c r="AB79" s="479"/>
      <c r="AC79" s="479"/>
      <c r="AD79" s="479"/>
      <c r="AE79" s="479"/>
      <c r="AF79" s="479"/>
      <c r="AG79" s="479"/>
      <c r="AH79" s="479"/>
      <c r="AI79" s="479"/>
      <c r="AJ79" s="479"/>
      <c r="AK79" s="479"/>
      <c r="AL79" s="479"/>
      <c r="AM79" s="479"/>
      <c r="AN79" s="479"/>
      <c r="AO79" s="479"/>
      <c r="AP79" s="479"/>
      <c r="AQ79" s="479"/>
      <c r="AR79" s="479"/>
      <c r="AS79" s="479"/>
      <c r="AT79" s="479"/>
      <c r="AU79" s="479"/>
      <c r="AV79" s="479"/>
      <c r="AW79" s="479"/>
      <c r="AX79" s="479"/>
      <c r="AY79" s="479"/>
      <c r="AZ79" s="479"/>
      <c r="BA79" s="479"/>
      <c r="BB79" s="479"/>
      <c r="BC79" s="479"/>
      <c r="BD79" s="479"/>
      <c r="BE79" s="479"/>
      <c r="BF79" s="479"/>
      <c r="BG79" s="479"/>
      <c r="BH79" s="479"/>
      <c r="BI79" s="479"/>
      <c r="BJ79" s="479"/>
      <c r="BK79" s="479"/>
      <c r="BL79" s="479"/>
      <c r="BM79" s="479"/>
      <c r="BN79" s="479"/>
      <c r="BO79" s="479"/>
      <c r="BP79" s="479"/>
      <c r="BQ79" s="479"/>
      <c r="BR79" s="479"/>
      <c r="BS79" s="479"/>
      <c r="BT79" s="479"/>
      <c r="BU79" s="479"/>
      <c r="BV79" s="479"/>
      <c r="BW79" s="479"/>
      <c r="BX79" s="479"/>
      <c r="BY79" s="479"/>
      <c r="BZ79" s="479"/>
      <c r="CA79" s="479"/>
      <c r="CB79" s="479"/>
      <c r="CC79" s="479"/>
    </row>
    <row r="80" spans="7:81" x14ac:dyDescent="0.3">
      <c r="G80" s="479"/>
      <c r="H80" s="479"/>
      <c r="I80" s="479"/>
      <c r="J80" s="479"/>
      <c r="K80" s="479"/>
      <c r="L80" s="479"/>
      <c r="M80" s="479"/>
      <c r="N80" s="479"/>
      <c r="O80" s="479"/>
      <c r="P80" s="479"/>
      <c r="Q80" s="479"/>
      <c r="R80" s="479"/>
      <c r="S80" s="479"/>
      <c r="T80" s="479"/>
      <c r="U80" s="479"/>
      <c r="V80" s="479"/>
      <c r="W80" s="479"/>
      <c r="X80" s="478"/>
      <c r="Y80" s="479"/>
      <c r="Z80" s="479"/>
      <c r="AA80" s="479"/>
      <c r="AB80" s="479"/>
      <c r="AC80" s="479"/>
      <c r="AD80" s="479"/>
      <c r="AE80" s="479"/>
      <c r="AF80" s="479"/>
      <c r="AG80" s="479"/>
      <c r="AH80" s="479"/>
      <c r="AI80" s="479"/>
      <c r="AJ80" s="479"/>
      <c r="AK80" s="479"/>
      <c r="AL80" s="479"/>
      <c r="AM80" s="479"/>
      <c r="AN80" s="479"/>
      <c r="AO80" s="479"/>
      <c r="AP80" s="479"/>
      <c r="AQ80" s="479"/>
      <c r="AR80" s="479"/>
      <c r="AS80" s="479"/>
      <c r="AT80" s="479"/>
      <c r="AU80" s="479"/>
      <c r="AV80" s="479"/>
      <c r="AW80" s="479"/>
      <c r="AX80" s="479"/>
      <c r="AY80" s="479"/>
      <c r="AZ80" s="479"/>
      <c r="BA80" s="479"/>
      <c r="BB80" s="479"/>
      <c r="BC80" s="479"/>
      <c r="BD80" s="479"/>
      <c r="BE80" s="479"/>
      <c r="BF80" s="479"/>
      <c r="BG80" s="479"/>
      <c r="BH80" s="479"/>
      <c r="BI80" s="479"/>
      <c r="BJ80" s="479"/>
      <c r="BK80" s="479"/>
      <c r="BL80" s="479"/>
      <c r="BM80" s="479"/>
      <c r="BN80" s="479"/>
      <c r="BO80" s="479"/>
      <c r="BP80" s="479"/>
      <c r="BQ80" s="479"/>
      <c r="BR80" s="479"/>
      <c r="BS80" s="479"/>
      <c r="BT80" s="479"/>
      <c r="BU80" s="479"/>
      <c r="BV80" s="479"/>
      <c r="BW80" s="479"/>
      <c r="BX80" s="479"/>
      <c r="BY80" s="479"/>
      <c r="BZ80" s="479"/>
      <c r="CA80" s="479"/>
      <c r="CB80" s="479"/>
      <c r="CC80" s="479"/>
    </row>
    <row r="81" spans="7:81" x14ac:dyDescent="0.3">
      <c r="G81" s="479"/>
      <c r="H81" s="479"/>
      <c r="I81" s="479"/>
      <c r="J81" s="479"/>
      <c r="K81" s="479"/>
      <c r="L81" s="479"/>
      <c r="M81" s="479"/>
      <c r="N81" s="479"/>
      <c r="O81" s="479"/>
      <c r="P81" s="479"/>
      <c r="Q81" s="479"/>
      <c r="R81" s="479"/>
      <c r="S81" s="479"/>
      <c r="T81" s="479"/>
      <c r="U81" s="479"/>
      <c r="V81" s="479"/>
      <c r="W81" s="479"/>
      <c r="X81" s="478"/>
      <c r="Y81" s="479"/>
      <c r="Z81" s="479"/>
      <c r="AA81" s="479"/>
      <c r="AB81" s="479"/>
      <c r="AC81" s="479"/>
      <c r="AD81" s="479"/>
      <c r="AE81" s="479"/>
      <c r="AF81" s="479"/>
      <c r="AG81" s="479"/>
      <c r="AH81" s="479"/>
      <c r="AI81" s="479"/>
      <c r="AJ81" s="479"/>
      <c r="AK81" s="479"/>
      <c r="AL81" s="479"/>
      <c r="AM81" s="479"/>
      <c r="AN81" s="479"/>
      <c r="AO81" s="479"/>
      <c r="AP81" s="479"/>
      <c r="AQ81" s="479"/>
      <c r="AR81" s="479"/>
      <c r="AS81" s="479"/>
      <c r="AT81" s="479"/>
      <c r="AU81" s="479"/>
      <c r="AV81" s="479"/>
      <c r="AW81" s="479"/>
      <c r="AX81" s="479"/>
      <c r="AY81" s="479"/>
      <c r="AZ81" s="479"/>
      <c r="BA81" s="479"/>
      <c r="BB81" s="479"/>
      <c r="BC81" s="479"/>
      <c r="BD81" s="479"/>
      <c r="BE81" s="479"/>
      <c r="BF81" s="479"/>
      <c r="BG81" s="479"/>
      <c r="BH81" s="479"/>
      <c r="BI81" s="479"/>
      <c r="BJ81" s="479"/>
      <c r="BK81" s="479"/>
      <c r="BL81" s="479"/>
      <c r="BM81" s="479"/>
      <c r="BN81" s="479"/>
      <c r="BO81" s="479"/>
      <c r="BP81" s="479"/>
      <c r="BQ81" s="479"/>
      <c r="BR81" s="479"/>
      <c r="BS81" s="479"/>
      <c r="BT81" s="479"/>
      <c r="BU81" s="479"/>
      <c r="BV81" s="479"/>
      <c r="BW81" s="479"/>
      <c r="BX81" s="479"/>
      <c r="BY81" s="479"/>
      <c r="BZ81" s="479"/>
      <c r="CA81" s="479"/>
      <c r="CB81" s="479"/>
      <c r="CC81" s="479"/>
    </row>
    <row r="82" spans="7:81" x14ac:dyDescent="0.3">
      <c r="G82" s="479"/>
      <c r="H82" s="479"/>
      <c r="I82" s="479"/>
      <c r="J82" s="479"/>
      <c r="K82" s="479"/>
      <c r="L82" s="479"/>
      <c r="M82" s="479"/>
      <c r="N82" s="479"/>
      <c r="O82" s="479"/>
      <c r="P82" s="479"/>
      <c r="Q82" s="479"/>
      <c r="R82" s="479"/>
      <c r="S82" s="479"/>
      <c r="T82" s="479"/>
      <c r="U82" s="479"/>
      <c r="V82" s="479"/>
      <c r="W82" s="479"/>
      <c r="X82" s="478"/>
      <c r="Y82" s="479"/>
      <c r="Z82" s="479"/>
      <c r="AA82" s="479"/>
      <c r="AB82" s="479"/>
      <c r="AC82" s="479"/>
      <c r="AD82" s="479"/>
      <c r="AE82" s="479"/>
      <c r="AF82" s="479"/>
      <c r="AG82" s="479"/>
      <c r="AH82" s="479"/>
      <c r="AI82" s="479"/>
      <c r="AJ82" s="479"/>
      <c r="AK82" s="479"/>
      <c r="AL82" s="479"/>
      <c r="AM82" s="479"/>
      <c r="AN82" s="479"/>
      <c r="AO82" s="479"/>
      <c r="AP82" s="479"/>
      <c r="AQ82" s="479"/>
      <c r="AR82" s="479"/>
      <c r="AS82" s="479"/>
      <c r="AT82" s="479"/>
      <c r="AU82" s="479"/>
      <c r="AV82" s="479"/>
      <c r="AW82" s="479"/>
      <c r="AX82" s="479"/>
      <c r="AY82" s="479"/>
      <c r="AZ82" s="479"/>
      <c r="BA82" s="479"/>
      <c r="BB82" s="479"/>
      <c r="BC82" s="479"/>
      <c r="BD82" s="479"/>
      <c r="BE82" s="479"/>
      <c r="BF82" s="479"/>
      <c r="BG82" s="479"/>
      <c r="BH82" s="479"/>
      <c r="BI82" s="479"/>
      <c r="BJ82" s="479"/>
      <c r="BK82" s="479"/>
      <c r="BL82" s="479"/>
      <c r="BM82" s="479"/>
      <c r="BN82" s="479"/>
      <c r="BO82" s="479"/>
      <c r="BP82" s="479"/>
      <c r="BQ82" s="479"/>
      <c r="BR82" s="479"/>
      <c r="BS82" s="479"/>
      <c r="BT82" s="479"/>
      <c r="BU82" s="479"/>
      <c r="BV82" s="479"/>
      <c r="BW82" s="479"/>
      <c r="BX82" s="479"/>
      <c r="BY82" s="479"/>
      <c r="BZ82" s="479"/>
      <c r="CA82" s="479"/>
      <c r="CB82" s="479"/>
      <c r="CC82" s="479"/>
    </row>
    <row r="83" spans="7:81" x14ac:dyDescent="0.3">
      <c r="G83" s="479"/>
      <c r="H83" s="479"/>
      <c r="I83" s="479"/>
      <c r="J83" s="479"/>
      <c r="K83" s="479"/>
      <c r="L83" s="479"/>
      <c r="M83" s="479"/>
      <c r="N83" s="479"/>
      <c r="O83" s="479"/>
      <c r="P83" s="479"/>
      <c r="Q83" s="479"/>
      <c r="R83" s="479"/>
      <c r="S83" s="479"/>
      <c r="T83" s="479"/>
      <c r="U83" s="479"/>
      <c r="V83" s="479"/>
      <c r="W83" s="479"/>
      <c r="X83" s="478"/>
      <c r="Y83" s="479"/>
      <c r="Z83" s="479"/>
      <c r="AA83" s="479"/>
      <c r="AB83" s="479"/>
      <c r="AC83" s="479"/>
      <c r="AD83" s="479"/>
      <c r="AE83" s="479"/>
      <c r="AF83" s="479"/>
      <c r="AG83" s="479"/>
      <c r="AH83" s="479"/>
      <c r="AI83" s="479"/>
      <c r="AJ83" s="479"/>
      <c r="AK83" s="479"/>
      <c r="AL83" s="479"/>
      <c r="AM83" s="479"/>
      <c r="AN83" s="479"/>
      <c r="AO83" s="479"/>
      <c r="AP83" s="479"/>
      <c r="AQ83" s="479"/>
      <c r="AR83" s="479"/>
      <c r="AS83" s="479"/>
      <c r="AT83" s="479"/>
      <c r="AU83" s="479"/>
      <c r="AV83" s="479"/>
      <c r="AW83" s="479"/>
      <c r="AX83" s="479"/>
      <c r="AY83" s="479"/>
      <c r="AZ83" s="479"/>
      <c r="BA83" s="479"/>
      <c r="BB83" s="479"/>
      <c r="BC83" s="479"/>
      <c r="BD83" s="479"/>
      <c r="BE83" s="479"/>
      <c r="BF83" s="479"/>
      <c r="BG83" s="479"/>
      <c r="BH83" s="479"/>
      <c r="BI83" s="479"/>
      <c r="BJ83" s="479"/>
      <c r="BK83" s="479"/>
      <c r="BL83" s="479"/>
      <c r="BM83" s="479"/>
      <c r="BN83" s="479"/>
      <c r="BO83" s="479"/>
      <c r="BP83" s="479"/>
      <c r="BQ83" s="479"/>
      <c r="BR83" s="479"/>
      <c r="BS83" s="479"/>
      <c r="BT83" s="479"/>
      <c r="BU83" s="479"/>
      <c r="BV83" s="479"/>
      <c r="BW83" s="479"/>
      <c r="BX83" s="479"/>
      <c r="BY83" s="479"/>
      <c r="BZ83" s="479"/>
      <c r="CA83" s="479"/>
      <c r="CB83" s="479"/>
      <c r="CC83" s="479"/>
    </row>
    <row r="84" spans="7:81" x14ac:dyDescent="0.3">
      <c r="G84" s="479"/>
      <c r="H84" s="479"/>
      <c r="I84" s="479"/>
      <c r="J84" s="479"/>
      <c r="K84" s="479"/>
      <c r="L84" s="479"/>
      <c r="M84" s="479"/>
      <c r="N84" s="479"/>
      <c r="O84" s="479"/>
      <c r="P84" s="479"/>
      <c r="Q84" s="479"/>
      <c r="R84" s="479"/>
      <c r="S84" s="479"/>
      <c r="T84" s="479"/>
      <c r="U84" s="479"/>
      <c r="V84" s="479"/>
      <c r="W84" s="479"/>
      <c r="X84" s="478"/>
      <c r="Y84" s="479"/>
      <c r="Z84" s="479"/>
      <c r="AA84" s="479"/>
      <c r="AB84" s="479"/>
      <c r="AC84" s="479"/>
      <c r="AD84" s="479"/>
      <c r="AE84" s="479"/>
      <c r="AF84" s="479"/>
      <c r="AG84" s="479"/>
      <c r="AH84" s="479"/>
      <c r="AI84" s="479"/>
      <c r="AJ84" s="479"/>
      <c r="AK84" s="479"/>
      <c r="AL84" s="479"/>
      <c r="AM84" s="479"/>
      <c r="AN84" s="479"/>
      <c r="AO84" s="479"/>
      <c r="AP84" s="479"/>
      <c r="AQ84" s="479"/>
      <c r="AR84" s="479"/>
      <c r="AS84" s="479"/>
      <c r="AT84" s="479"/>
      <c r="AU84" s="479"/>
      <c r="AV84" s="479"/>
      <c r="AW84" s="479"/>
      <c r="AX84" s="479"/>
      <c r="AY84" s="479"/>
      <c r="AZ84" s="479"/>
      <c r="BA84" s="479"/>
      <c r="BB84" s="479"/>
      <c r="BC84" s="479"/>
      <c r="BD84" s="479"/>
      <c r="BE84" s="479"/>
      <c r="BF84" s="479"/>
      <c r="BG84" s="479"/>
      <c r="BH84" s="479"/>
      <c r="BI84" s="479"/>
      <c r="BJ84" s="479"/>
      <c r="BK84" s="479"/>
      <c r="BL84" s="479"/>
      <c r="BM84" s="479"/>
      <c r="BN84" s="479"/>
      <c r="BO84" s="479"/>
      <c r="BP84" s="479"/>
      <c r="BQ84" s="479"/>
      <c r="BR84" s="479"/>
      <c r="BS84" s="479"/>
      <c r="BT84" s="479"/>
      <c r="BU84" s="479"/>
      <c r="BV84" s="479"/>
      <c r="BW84" s="479"/>
      <c r="BX84" s="479"/>
      <c r="BY84" s="479"/>
      <c r="BZ84" s="479"/>
      <c r="CA84" s="479"/>
      <c r="CB84" s="479"/>
      <c r="CC84" s="479"/>
    </row>
    <row r="85" spans="7:81" x14ac:dyDescent="0.3">
      <c r="G85" s="479"/>
      <c r="H85" s="479"/>
      <c r="I85" s="479"/>
      <c r="J85" s="479"/>
      <c r="K85" s="479"/>
      <c r="L85" s="479"/>
      <c r="M85" s="479"/>
      <c r="N85" s="479"/>
      <c r="O85" s="479"/>
      <c r="P85" s="479"/>
      <c r="Q85" s="479"/>
      <c r="R85" s="479"/>
      <c r="S85" s="479"/>
      <c r="T85" s="479"/>
      <c r="U85" s="479"/>
      <c r="V85" s="479"/>
      <c r="W85" s="479"/>
      <c r="X85" s="478"/>
      <c r="Y85" s="479"/>
      <c r="Z85" s="479"/>
      <c r="AA85" s="479"/>
      <c r="AB85" s="479"/>
      <c r="AC85" s="479"/>
      <c r="AD85" s="479"/>
      <c r="AE85" s="479"/>
      <c r="AF85" s="479"/>
      <c r="AG85" s="479"/>
      <c r="AH85" s="479"/>
      <c r="AI85" s="479"/>
      <c r="AJ85" s="479"/>
      <c r="AK85" s="479"/>
      <c r="AL85" s="479"/>
      <c r="AM85" s="479"/>
      <c r="AN85" s="479"/>
      <c r="AO85" s="479"/>
      <c r="AP85" s="479"/>
      <c r="AQ85" s="479"/>
      <c r="AR85" s="479"/>
      <c r="AS85" s="479"/>
      <c r="AT85" s="479"/>
      <c r="AU85" s="479"/>
      <c r="AV85" s="479"/>
      <c r="AW85" s="479"/>
      <c r="AX85" s="479"/>
      <c r="AY85" s="479"/>
      <c r="AZ85" s="479"/>
      <c r="BA85" s="479"/>
      <c r="BB85" s="479"/>
      <c r="BC85" s="479"/>
      <c r="BD85" s="479"/>
      <c r="BE85" s="479"/>
      <c r="BF85" s="479"/>
      <c r="BG85" s="479"/>
      <c r="BH85" s="479"/>
      <c r="BI85" s="479"/>
      <c r="BJ85" s="479"/>
      <c r="BK85" s="479"/>
      <c r="BL85" s="479"/>
      <c r="BM85" s="479"/>
      <c r="BN85" s="479"/>
      <c r="BO85" s="479"/>
      <c r="BP85" s="479"/>
      <c r="BQ85" s="479"/>
      <c r="BR85" s="479"/>
      <c r="BS85" s="479"/>
      <c r="BT85" s="479"/>
      <c r="BU85" s="479"/>
      <c r="BV85" s="479"/>
      <c r="BW85" s="479"/>
      <c r="BX85" s="479"/>
      <c r="BY85" s="479"/>
      <c r="BZ85" s="479"/>
      <c r="CA85" s="479"/>
      <c r="CB85" s="479"/>
      <c r="CC85" s="479"/>
    </row>
    <row r="86" spans="7:81" x14ac:dyDescent="0.3">
      <c r="G86" s="479"/>
      <c r="H86" s="479"/>
      <c r="I86" s="479"/>
      <c r="J86" s="479"/>
      <c r="K86" s="479"/>
      <c r="L86" s="479"/>
      <c r="M86" s="479"/>
      <c r="N86" s="479"/>
      <c r="O86" s="479"/>
      <c r="P86" s="479"/>
      <c r="Q86" s="479"/>
      <c r="R86" s="479"/>
      <c r="S86" s="479"/>
      <c r="T86" s="479"/>
      <c r="U86" s="479"/>
      <c r="V86" s="479"/>
      <c r="W86" s="479"/>
      <c r="X86" s="478"/>
      <c r="Y86" s="479"/>
      <c r="Z86" s="479"/>
      <c r="AA86" s="479"/>
      <c r="AB86" s="479"/>
      <c r="AC86" s="479"/>
      <c r="AD86" s="479"/>
      <c r="AE86" s="479"/>
      <c r="AF86" s="479"/>
      <c r="AG86" s="479"/>
      <c r="AH86" s="479"/>
      <c r="AI86" s="479"/>
      <c r="AJ86" s="479"/>
      <c r="AK86" s="479"/>
      <c r="AL86" s="479"/>
      <c r="AM86" s="479"/>
      <c r="AN86" s="479"/>
      <c r="AO86" s="479"/>
      <c r="AP86" s="479"/>
      <c r="AQ86" s="479"/>
      <c r="AR86" s="479"/>
      <c r="AS86" s="479"/>
      <c r="AT86" s="479"/>
      <c r="AU86" s="479"/>
      <c r="AV86" s="479"/>
      <c r="AW86" s="479"/>
      <c r="AX86" s="479"/>
      <c r="AY86" s="479"/>
      <c r="AZ86" s="479"/>
      <c r="BA86" s="479"/>
      <c r="BB86" s="479"/>
      <c r="BC86" s="479"/>
      <c r="BD86" s="479"/>
      <c r="BE86" s="479"/>
      <c r="BF86" s="479"/>
      <c r="BG86" s="479"/>
      <c r="BH86" s="479"/>
      <c r="BI86" s="479"/>
      <c r="BJ86" s="479"/>
      <c r="BK86" s="479"/>
      <c r="BL86" s="479"/>
      <c r="BM86" s="479"/>
      <c r="BN86" s="479"/>
      <c r="BO86" s="479"/>
      <c r="BP86" s="479"/>
      <c r="BQ86" s="479"/>
      <c r="BR86" s="479"/>
      <c r="BS86" s="479"/>
      <c r="BT86" s="479"/>
      <c r="BU86" s="479"/>
      <c r="BV86" s="479"/>
      <c r="BW86" s="479"/>
      <c r="BX86" s="479"/>
      <c r="BY86" s="479"/>
      <c r="BZ86" s="479"/>
      <c r="CA86" s="479"/>
      <c r="CB86" s="479"/>
      <c r="CC86" s="479"/>
    </row>
  </sheetData>
  <mergeCells count="33">
    <mergeCell ref="R7:R8"/>
    <mergeCell ref="M7:M9"/>
    <mergeCell ref="N7:N9"/>
    <mergeCell ref="C24:E24"/>
    <mergeCell ref="C25:E25"/>
    <mergeCell ref="D13:D16"/>
    <mergeCell ref="V7:V8"/>
    <mergeCell ref="C26:E26"/>
    <mergeCell ref="U7:U8"/>
    <mergeCell ref="S7:S8"/>
    <mergeCell ref="T7:T8"/>
    <mergeCell ref="P7:P8"/>
    <mergeCell ref="Q7:Q8"/>
    <mergeCell ref="C17:E17"/>
    <mergeCell ref="C18:E18"/>
    <mergeCell ref="C19:E19"/>
    <mergeCell ref="W7:W8"/>
    <mergeCell ref="F6:W6"/>
    <mergeCell ref="C27:E27"/>
    <mergeCell ref="C20:E20"/>
    <mergeCell ref="C21:E21"/>
    <mergeCell ref="C22:E22"/>
    <mergeCell ref="C23:E23"/>
    <mergeCell ref="I8:L8"/>
    <mergeCell ref="F3:L3"/>
    <mergeCell ref="F4:L4"/>
    <mergeCell ref="F7:F8"/>
    <mergeCell ref="G7:L7"/>
    <mergeCell ref="B10:B27"/>
    <mergeCell ref="D11:E11"/>
    <mergeCell ref="D12:E12"/>
    <mergeCell ref="C11:C16"/>
    <mergeCell ref="C10:E10"/>
  </mergeCells>
  <phoneticPr fontId="0" type="noConversion"/>
  <printOptions horizontalCentered="1" verticalCentered="1"/>
  <pageMargins left="0.75" right="0.75" top="1" bottom="1" header="0" footer="0"/>
  <pageSetup paperSize="9" scale="30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AA845-4932-4A0B-804A-727312EC03C8}">
  <dimension ref="B2:X84"/>
  <sheetViews>
    <sheetView topLeftCell="A23" workbookViewId="0">
      <pane xSplit="2" ySplit="7" topLeftCell="L59" activePane="bottomRight" state="frozen"/>
      <selection activeCell="A23" sqref="A23"/>
      <selection pane="topRight" activeCell="C23" sqref="C23"/>
      <selection pane="bottomLeft" activeCell="A30" sqref="A30"/>
      <selection pane="bottomRight" activeCell="Q79" sqref="Q79"/>
    </sheetView>
  </sheetViews>
  <sheetFormatPr defaultColWidth="11" defaultRowHeight="13" x14ac:dyDescent="0.3"/>
  <cols>
    <col min="1" max="1" width="11" customWidth="1"/>
    <col min="2" max="2" width="49.33203125" bestFit="1" customWidth="1"/>
    <col min="3" max="11" width="11" customWidth="1"/>
    <col min="12" max="12" width="16.44140625" customWidth="1"/>
    <col min="13" max="13" width="12" style="291" customWidth="1"/>
    <col min="14" max="14" width="11.6640625" customWidth="1"/>
  </cols>
  <sheetData>
    <row r="2" spans="2:24" x14ac:dyDescent="0.3">
      <c r="B2" t="s">
        <v>322</v>
      </c>
    </row>
    <row r="3" spans="2:24" x14ac:dyDescent="0.3">
      <c r="B3" t="s">
        <v>323</v>
      </c>
    </row>
    <row r="4" spans="2:24" x14ac:dyDescent="0.3">
      <c r="B4" t="s">
        <v>324</v>
      </c>
    </row>
    <row r="6" spans="2:24" x14ac:dyDescent="0.3">
      <c r="G6">
        <v>1991</v>
      </c>
      <c r="H6">
        <v>1992</v>
      </c>
      <c r="I6">
        <v>1993</v>
      </c>
      <c r="J6">
        <v>1994</v>
      </c>
      <c r="K6">
        <v>1995</v>
      </c>
      <c r="L6">
        <v>1996</v>
      </c>
      <c r="M6" s="291">
        <v>1997</v>
      </c>
      <c r="N6">
        <v>1998</v>
      </c>
      <c r="O6">
        <v>1999</v>
      </c>
      <c r="P6">
        <v>2000</v>
      </c>
      <c r="Q6" t="s">
        <v>613</v>
      </c>
      <c r="R6" s="722">
        <v>2002</v>
      </c>
      <c r="S6" s="722">
        <v>2003</v>
      </c>
      <c r="T6" s="722">
        <v>2004</v>
      </c>
    </row>
    <row r="7" spans="2:24" x14ac:dyDescent="0.3">
      <c r="B7" t="s">
        <v>391</v>
      </c>
      <c r="C7" t="s">
        <v>392</v>
      </c>
      <c r="D7" t="s">
        <v>393</v>
      </c>
      <c r="G7">
        <v>83760</v>
      </c>
      <c r="H7">
        <v>83401</v>
      </c>
      <c r="I7">
        <v>87375</v>
      </c>
      <c r="J7">
        <v>98577.446999999986</v>
      </c>
      <c r="K7">
        <v>107038.851</v>
      </c>
      <c r="L7">
        <v>109708.5</v>
      </c>
      <c r="M7" s="291">
        <v>117213.965</v>
      </c>
      <c r="N7">
        <v>116452.58699999998</v>
      </c>
      <c r="O7">
        <v>117507.42599999999</v>
      </c>
      <c r="P7">
        <v>120825.24099999999</v>
      </c>
      <c r="Q7">
        <v>121131.81700000001</v>
      </c>
      <c r="R7" s="299">
        <v>126980</v>
      </c>
      <c r="S7" s="299">
        <v>131757</v>
      </c>
      <c r="T7" s="299">
        <v>138430</v>
      </c>
      <c r="U7" t="s">
        <v>391</v>
      </c>
      <c r="V7" t="s">
        <v>392</v>
      </c>
      <c r="W7" t="s">
        <v>393</v>
      </c>
    </row>
    <row r="8" spans="2:24" x14ac:dyDescent="0.3">
      <c r="B8" t="s">
        <v>394</v>
      </c>
      <c r="C8" t="s">
        <v>395</v>
      </c>
      <c r="D8" t="s">
        <v>396</v>
      </c>
      <c r="E8" t="s">
        <v>396</v>
      </c>
      <c r="G8">
        <v>11130</v>
      </c>
      <c r="H8">
        <v>12113</v>
      </c>
      <c r="I8">
        <v>12572</v>
      </c>
      <c r="J8">
        <v>15921.817999999999</v>
      </c>
      <c r="K8">
        <v>20232.47</v>
      </c>
      <c r="L8">
        <v>20259.379000000001</v>
      </c>
      <c r="M8" s="291">
        <v>22723.623</v>
      </c>
      <c r="N8">
        <v>23251.454000000005</v>
      </c>
      <c r="O8">
        <v>19724.304000000004</v>
      </c>
      <c r="P8">
        <v>20458.191999999995</v>
      </c>
      <c r="Q8">
        <v>20996.799999999999</v>
      </c>
      <c r="R8" s="299">
        <v>21477</v>
      </c>
      <c r="S8" s="299">
        <v>22192</v>
      </c>
      <c r="T8" s="299">
        <v>24296</v>
      </c>
      <c r="U8" t="s">
        <v>394</v>
      </c>
      <c r="V8" t="s">
        <v>395</v>
      </c>
      <c r="W8" t="s">
        <v>396</v>
      </c>
      <c r="X8" t="s">
        <v>396</v>
      </c>
    </row>
    <row r="9" spans="2:24" x14ac:dyDescent="0.3">
      <c r="B9" t="s">
        <v>397</v>
      </c>
      <c r="C9" t="s">
        <v>398</v>
      </c>
      <c r="D9" t="s">
        <v>399</v>
      </c>
      <c r="E9" t="s">
        <v>617</v>
      </c>
      <c r="G9">
        <v>94890</v>
      </c>
      <c r="H9">
        <v>95514</v>
      </c>
      <c r="I9">
        <v>99947</v>
      </c>
      <c r="J9">
        <v>114499.26499999998</v>
      </c>
      <c r="K9">
        <v>127271.32100000001</v>
      </c>
      <c r="L9">
        <v>129967.879</v>
      </c>
      <c r="M9" s="291">
        <v>139937.58799999999</v>
      </c>
      <c r="N9">
        <v>139704.041</v>
      </c>
      <c r="O9">
        <v>137231.73000000001</v>
      </c>
      <c r="P9">
        <v>141283.43300000002</v>
      </c>
      <c r="Q9">
        <v>142128.61700000003</v>
      </c>
      <c r="R9" s="299">
        <v>148458</v>
      </c>
      <c r="S9" s="299">
        <v>153949</v>
      </c>
      <c r="T9" s="299">
        <v>162726</v>
      </c>
      <c r="U9" t="s">
        <v>397</v>
      </c>
      <c r="V9" t="s">
        <v>398</v>
      </c>
      <c r="W9" t="s">
        <v>399</v>
      </c>
      <c r="X9" t="s">
        <v>617</v>
      </c>
    </row>
    <row r="10" spans="2:24" x14ac:dyDescent="0.3">
      <c r="B10" t="s">
        <v>400</v>
      </c>
      <c r="C10" t="s">
        <v>401</v>
      </c>
      <c r="D10" t="s">
        <v>572</v>
      </c>
      <c r="E10" t="s">
        <v>402</v>
      </c>
      <c r="G10">
        <v>62990</v>
      </c>
      <c r="H10">
        <v>62788</v>
      </c>
      <c r="I10">
        <v>64935</v>
      </c>
      <c r="J10">
        <v>71306.274000000019</v>
      </c>
      <c r="K10">
        <v>78198.190999999992</v>
      </c>
      <c r="L10">
        <v>80583.959000000003</v>
      </c>
      <c r="M10" s="291">
        <v>84185.698000000004</v>
      </c>
      <c r="N10">
        <v>83393.11</v>
      </c>
      <c r="O10">
        <v>83022.472999999998</v>
      </c>
      <c r="P10">
        <v>85950.448000000004</v>
      </c>
      <c r="Q10">
        <v>87160.895999999993</v>
      </c>
      <c r="R10" s="299">
        <v>91254</v>
      </c>
      <c r="S10" s="299">
        <v>94042</v>
      </c>
      <c r="T10" s="299">
        <v>97110</v>
      </c>
      <c r="U10" t="s">
        <v>400</v>
      </c>
      <c r="V10" t="s">
        <v>401</v>
      </c>
      <c r="W10" t="s">
        <v>572</v>
      </c>
      <c r="X10" t="s">
        <v>402</v>
      </c>
    </row>
    <row r="11" spans="2:24" x14ac:dyDescent="0.3">
      <c r="B11" t="s">
        <v>400</v>
      </c>
      <c r="C11" t="s">
        <v>401</v>
      </c>
      <c r="D11" t="s">
        <v>574</v>
      </c>
      <c r="E11" t="s">
        <v>403</v>
      </c>
      <c r="G11">
        <v>7528</v>
      </c>
      <c r="H11">
        <v>7741</v>
      </c>
      <c r="I11">
        <v>7980</v>
      </c>
      <c r="J11">
        <v>8671.5620000000017</v>
      </c>
      <c r="K11">
        <v>9411.3639999999996</v>
      </c>
      <c r="L11">
        <v>9823.2350000000024</v>
      </c>
      <c r="M11" s="291">
        <v>10565.400999999998</v>
      </c>
      <c r="N11">
        <v>10831.648999999998</v>
      </c>
      <c r="O11">
        <v>11209.521999999999</v>
      </c>
      <c r="P11">
        <v>11559.74</v>
      </c>
      <c r="Q11">
        <v>11573.725</v>
      </c>
      <c r="R11" s="299">
        <v>11482</v>
      </c>
      <c r="S11" s="299">
        <v>11811</v>
      </c>
      <c r="T11" s="299">
        <v>12267</v>
      </c>
      <c r="U11" t="s">
        <v>400</v>
      </c>
      <c r="V11" t="s">
        <v>401</v>
      </c>
      <c r="W11" t="s">
        <v>574</v>
      </c>
      <c r="X11" t="s">
        <v>403</v>
      </c>
    </row>
    <row r="12" spans="2:24" x14ac:dyDescent="0.3">
      <c r="B12" t="s">
        <v>404</v>
      </c>
      <c r="C12" t="s">
        <v>400</v>
      </c>
      <c r="D12" t="s">
        <v>405</v>
      </c>
      <c r="E12" t="s">
        <v>406</v>
      </c>
      <c r="F12" t="s">
        <v>617</v>
      </c>
      <c r="G12">
        <v>70518</v>
      </c>
      <c r="H12">
        <v>70529</v>
      </c>
      <c r="I12">
        <v>72915</v>
      </c>
      <c r="J12">
        <v>79977.836000000025</v>
      </c>
      <c r="K12">
        <v>87609.554999999993</v>
      </c>
      <c r="L12">
        <v>90407.194000000003</v>
      </c>
      <c r="M12" s="291">
        <v>94751.099000000002</v>
      </c>
      <c r="N12">
        <v>94224.758999999991</v>
      </c>
      <c r="O12">
        <v>94231.994999999995</v>
      </c>
      <c r="P12">
        <v>97510.188000000009</v>
      </c>
      <c r="Q12">
        <v>98734.620999999999</v>
      </c>
      <c r="R12" s="299">
        <v>102736</v>
      </c>
      <c r="S12" s="299">
        <v>105853</v>
      </c>
      <c r="T12" s="299">
        <v>109377</v>
      </c>
      <c r="U12" t="s">
        <v>404</v>
      </c>
      <c r="V12" t="s">
        <v>400</v>
      </c>
      <c r="W12" t="s">
        <v>405</v>
      </c>
      <c r="X12" t="s">
        <v>406</v>
      </c>
    </row>
    <row r="13" spans="2:24" x14ac:dyDescent="0.3">
      <c r="B13" t="s">
        <v>407</v>
      </c>
      <c r="C13" t="s">
        <v>408</v>
      </c>
      <c r="D13" t="s">
        <v>409</v>
      </c>
      <c r="E13" t="s">
        <v>396</v>
      </c>
      <c r="G13">
        <v>14573</v>
      </c>
      <c r="H13">
        <v>14758</v>
      </c>
      <c r="I13">
        <v>16487</v>
      </c>
      <c r="J13">
        <v>21931.110999999983</v>
      </c>
      <c r="K13">
        <v>26373.333000000002</v>
      </c>
      <c r="L13">
        <v>25093.812999999987</v>
      </c>
      <c r="M13" s="291">
        <v>28824.437999999987</v>
      </c>
      <c r="N13">
        <v>28204.923999999992</v>
      </c>
      <c r="O13">
        <v>24405.808000000001</v>
      </c>
      <c r="P13">
        <v>23704.505999999987</v>
      </c>
      <c r="Q13">
        <v>21907.445000000022</v>
      </c>
      <c r="R13" s="299">
        <v>22680</v>
      </c>
      <c r="S13" s="299">
        <v>23704</v>
      </c>
      <c r="T13" s="299">
        <v>25251</v>
      </c>
      <c r="U13" t="s">
        <v>407</v>
      </c>
      <c r="V13" t="s">
        <v>408</v>
      </c>
      <c r="W13" t="s">
        <v>409</v>
      </c>
      <c r="X13" t="s">
        <v>396</v>
      </c>
    </row>
    <row r="14" spans="2:24" x14ac:dyDescent="0.3">
      <c r="B14" t="s">
        <v>410</v>
      </c>
      <c r="C14" t="s">
        <v>395</v>
      </c>
      <c r="D14" t="s">
        <v>396</v>
      </c>
      <c r="E14" t="s">
        <v>396</v>
      </c>
      <c r="G14">
        <v>9799</v>
      </c>
      <c r="H14">
        <v>10227</v>
      </c>
      <c r="I14">
        <v>10545</v>
      </c>
      <c r="J14">
        <v>12590.317999999999</v>
      </c>
      <c r="K14">
        <v>13288.433000000003</v>
      </c>
      <c r="L14">
        <v>14466.871999999999</v>
      </c>
      <c r="M14" s="291">
        <v>16362.050999999999</v>
      </c>
      <c r="N14">
        <v>17274.358</v>
      </c>
      <c r="O14">
        <v>18593.926999999996</v>
      </c>
      <c r="P14">
        <v>20068.739000000001</v>
      </c>
      <c r="Q14">
        <v>21486.550999999999</v>
      </c>
      <c r="R14" s="299">
        <v>23041</v>
      </c>
      <c r="S14" s="299">
        <v>24392</v>
      </c>
      <c r="T14" s="299">
        <v>28098</v>
      </c>
      <c r="U14" t="s">
        <v>410</v>
      </c>
      <c r="V14" t="s">
        <v>395</v>
      </c>
      <c r="W14" t="s">
        <v>396</v>
      </c>
      <c r="X14" t="s">
        <v>396</v>
      </c>
    </row>
    <row r="19" spans="2:13" x14ac:dyDescent="0.3">
      <c r="B19" s="839" t="s">
        <v>616</v>
      </c>
      <c r="C19" s="840"/>
    </row>
    <row r="22" spans="2:13" x14ac:dyDescent="0.3">
      <c r="B22" t="s">
        <v>751</v>
      </c>
    </row>
    <row r="23" spans="2:13" x14ac:dyDescent="0.3">
      <c r="B23" t="s">
        <v>752</v>
      </c>
    </row>
    <row r="24" spans="2:13" x14ac:dyDescent="0.3">
      <c r="B24" t="s">
        <v>753</v>
      </c>
    </row>
    <row r="27" spans="2:13" x14ac:dyDescent="0.3">
      <c r="C27" t="s">
        <v>253</v>
      </c>
      <c r="D27" t="s">
        <v>254</v>
      </c>
      <c r="E27" t="s">
        <v>626</v>
      </c>
      <c r="F27" t="s">
        <v>627</v>
      </c>
      <c r="G27" t="s">
        <v>592</v>
      </c>
      <c r="H27" t="s">
        <v>593</v>
      </c>
      <c r="I27" t="s">
        <v>255</v>
      </c>
      <c r="J27" t="s">
        <v>589</v>
      </c>
      <c r="K27">
        <v>2002</v>
      </c>
      <c r="L27">
        <v>2003</v>
      </c>
      <c r="M27">
        <v>2004</v>
      </c>
    </row>
    <row r="28" spans="2:13" x14ac:dyDescent="0.3">
      <c r="J28" t="s">
        <v>105</v>
      </c>
      <c r="K28" t="s">
        <v>105</v>
      </c>
      <c r="L28" t="s">
        <v>108</v>
      </c>
    </row>
    <row r="30" spans="2:13" x14ac:dyDescent="0.3">
      <c r="B30" t="s">
        <v>754</v>
      </c>
      <c r="C30">
        <v>114499.26499999998</v>
      </c>
      <c r="D30">
        <v>127271.32100000001</v>
      </c>
      <c r="E30">
        <v>129967.879</v>
      </c>
      <c r="F30">
        <v>139937.58799999999</v>
      </c>
      <c r="G30">
        <v>139704.041</v>
      </c>
      <c r="H30">
        <v>137231.73000000001</v>
      </c>
      <c r="I30">
        <v>141283.43300000002</v>
      </c>
      <c r="J30">
        <v>142128.61700000003</v>
      </c>
      <c r="K30">
        <v>148457.60000000001</v>
      </c>
      <c r="L30">
        <v>153948.68</v>
      </c>
      <c r="M30" s="291">
        <v>162725.84</v>
      </c>
    </row>
    <row r="32" spans="2:13" x14ac:dyDescent="0.3">
      <c r="B32" t="s">
        <v>755</v>
      </c>
      <c r="C32">
        <v>101908.94699999999</v>
      </c>
      <c r="D32">
        <v>113982.88800000001</v>
      </c>
      <c r="E32">
        <v>115501.00699999998</v>
      </c>
      <c r="F32">
        <v>123575.53699999998</v>
      </c>
      <c r="G32">
        <v>122429.68299999999</v>
      </c>
      <c r="H32">
        <v>118637.803</v>
      </c>
      <c r="I32">
        <v>121214.69399999999</v>
      </c>
      <c r="J32">
        <v>120642.06600000001</v>
      </c>
      <c r="K32">
        <v>125416.96000000001</v>
      </c>
      <c r="L32">
        <v>129557.12</v>
      </c>
      <c r="M32" s="291">
        <v>134627.76999999999</v>
      </c>
    </row>
    <row r="33" spans="2:13" x14ac:dyDescent="0.3">
      <c r="B33" t="s">
        <v>756</v>
      </c>
      <c r="C33">
        <v>71306.274000000019</v>
      </c>
      <c r="D33">
        <v>78198.190999999992</v>
      </c>
      <c r="E33">
        <v>80583.959000000003</v>
      </c>
      <c r="F33">
        <v>84185.698000000004</v>
      </c>
      <c r="G33">
        <v>83393.11</v>
      </c>
      <c r="H33">
        <v>83022.472999999998</v>
      </c>
      <c r="I33">
        <v>85950.448000000004</v>
      </c>
      <c r="J33">
        <v>87160.895999999993</v>
      </c>
      <c r="K33">
        <v>91254.44</v>
      </c>
      <c r="L33">
        <v>94042.28</v>
      </c>
      <c r="M33" s="291">
        <v>97110.03</v>
      </c>
    </row>
    <row r="34" spans="2:13" x14ac:dyDescent="0.3">
      <c r="B34" t="s">
        <v>757</v>
      </c>
      <c r="C34">
        <v>8671.5620000000017</v>
      </c>
      <c r="D34">
        <v>9411.3639999999996</v>
      </c>
      <c r="E34">
        <v>9823.2350000000024</v>
      </c>
      <c r="F34">
        <v>10565.400999999998</v>
      </c>
      <c r="G34">
        <v>10831.648999999998</v>
      </c>
      <c r="H34">
        <v>11209.521999999999</v>
      </c>
      <c r="I34">
        <v>11559.74</v>
      </c>
      <c r="J34">
        <v>11573.725</v>
      </c>
      <c r="K34">
        <v>11482.27</v>
      </c>
      <c r="L34">
        <v>11810.51</v>
      </c>
      <c r="M34" s="291">
        <v>12266.87</v>
      </c>
    </row>
    <row r="35" spans="2:13" x14ac:dyDescent="0.3">
      <c r="B35" t="s">
        <v>758</v>
      </c>
      <c r="C35">
        <v>21931.110999999983</v>
      </c>
      <c r="D35">
        <v>26373.333000000002</v>
      </c>
      <c r="E35">
        <v>25093.812999999987</v>
      </c>
      <c r="F35">
        <v>28824.437999999987</v>
      </c>
      <c r="G35">
        <v>28204.923999999992</v>
      </c>
      <c r="H35">
        <v>24405.808000000001</v>
      </c>
      <c r="I35">
        <v>23704.505999999987</v>
      </c>
      <c r="J35">
        <v>21907.445000000022</v>
      </c>
      <c r="K35">
        <v>22680</v>
      </c>
      <c r="L35">
        <v>23704</v>
      </c>
      <c r="M35" s="291">
        <v>25251</v>
      </c>
    </row>
    <row r="36" spans="2:13" x14ac:dyDescent="0.3">
      <c r="B36" t="s">
        <v>759</v>
      </c>
      <c r="C36">
        <v>20900.96</v>
      </c>
      <c r="D36">
        <v>25467.821</v>
      </c>
      <c r="E36">
        <v>24736.751000000004</v>
      </c>
      <c r="F36">
        <v>28518.54</v>
      </c>
      <c r="G36">
        <v>28109.847000000002</v>
      </c>
      <c r="H36">
        <v>24972.04</v>
      </c>
      <c r="I36">
        <v>23741.603000000003</v>
      </c>
      <c r="J36">
        <v>21784.646000000001</v>
      </c>
      <c r="K36">
        <v>21627.59</v>
      </c>
      <c r="L36">
        <v>22788.89</v>
      </c>
      <c r="M36" s="291">
        <v>24676.23</v>
      </c>
    </row>
    <row r="37" spans="2:13" x14ac:dyDescent="0.3">
      <c r="B37" t="s">
        <v>760</v>
      </c>
      <c r="C37">
        <v>16162.410935027665</v>
      </c>
      <c r="D37">
        <v>20580.717208600676</v>
      </c>
      <c r="E37">
        <v>20130.154583884047</v>
      </c>
      <c r="F37">
        <v>23349.09009708383</v>
      </c>
      <c r="G37">
        <v>22788.571056131997</v>
      </c>
      <c r="H37">
        <v>19314.580165666412</v>
      </c>
      <c r="I37">
        <v>18913.213131167355</v>
      </c>
      <c r="J37">
        <v>18030.631855244021</v>
      </c>
      <c r="K37">
        <v>18052.53</v>
      </c>
      <c r="L37">
        <v>19036</v>
      </c>
      <c r="M37" s="291">
        <v>20818.099999999999</v>
      </c>
    </row>
    <row r="38" spans="2:13" x14ac:dyDescent="0.3">
      <c r="B38" t="s">
        <v>761</v>
      </c>
      <c r="C38">
        <v>4738.5490649723361</v>
      </c>
      <c r="D38">
        <v>4887.1037913993223</v>
      </c>
      <c r="E38">
        <v>4606.5964161159554</v>
      </c>
      <c r="F38">
        <v>5169.4499029161689</v>
      </c>
      <c r="G38">
        <v>5321.2759438680041</v>
      </c>
      <c r="H38">
        <v>5657.4598343335892</v>
      </c>
      <c r="I38">
        <v>4828.3898688326499</v>
      </c>
      <c r="J38">
        <v>3754.0141447559827</v>
      </c>
      <c r="K38">
        <v>3575.06</v>
      </c>
      <c r="L38">
        <v>3752.89</v>
      </c>
      <c r="M38" s="291">
        <v>3858.13</v>
      </c>
    </row>
    <row r="39" spans="2:13" x14ac:dyDescent="0.3">
      <c r="B39" t="s">
        <v>762</v>
      </c>
      <c r="C39">
        <v>1030.1509999999817</v>
      </c>
      <c r="D39">
        <v>905.51200000000426</v>
      </c>
      <c r="E39">
        <v>357.06199999998717</v>
      </c>
      <c r="F39">
        <v>305.89799999998922</v>
      </c>
      <c r="G39">
        <v>95.076999999987493</v>
      </c>
      <c r="H39">
        <v>-566.23199999999724</v>
      </c>
      <c r="I39">
        <v>-37.097000000014305</v>
      </c>
      <c r="J39">
        <v>122.79900000001817</v>
      </c>
      <c r="K39">
        <v>1052.9100000000001</v>
      </c>
      <c r="L39">
        <v>915</v>
      </c>
      <c r="M39" s="291">
        <v>575</v>
      </c>
    </row>
    <row r="41" spans="2:13" x14ac:dyDescent="0.3">
      <c r="B41" t="s">
        <v>763</v>
      </c>
      <c r="C41">
        <v>12590.317999999999</v>
      </c>
      <c r="D41">
        <v>13288.433000000003</v>
      </c>
      <c r="E41">
        <v>14466.871999999999</v>
      </c>
      <c r="F41">
        <v>16362.050999999999</v>
      </c>
      <c r="G41">
        <v>17274.358</v>
      </c>
      <c r="H41">
        <v>18593.926999999996</v>
      </c>
      <c r="I41">
        <v>20068.739000000001</v>
      </c>
      <c r="J41">
        <v>21486.550999999999</v>
      </c>
      <c r="K41">
        <v>23041</v>
      </c>
      <c r="L41">
        <v>24392</v>
      </c>
      <c r="M41" s="291">
        <v>28098</v>
      </c>
    </row>
    <row r="43" spans="2:13" x14ac:dyDescent="0.3">
      <c r="B43" t="s">
        <v>764</v>
      </c>
      <c r="C43">
        <v>114499.26499999998</v>
      </c>
      <c r="D43">
        <v>127271.32100000001</v>
      </c>
      <c r="E43">
        <v>129967.879</v>
      </c>
      <c r="F43">
        <v>139937.58799999999</v>
      </c>
      <c r="G43">
        <v>139704.041</v>
      </c>
      <c r="H43">
        <v>137231.73000000001</v>
      </c>
      <c r="I43">
        <v>141283.43300000002</v>
      </c>
      <c r="J43">
        <v>142128.61700000003</v>
      </c>
      <c r="K43">
        <v>148458</v>
      </c>
      <c r="L43">
        <v>153949</v>
      </c>
      <c r="M43" s="291">
        <v>162726</v>
      </c>
    </row>
    <row r="45" spans="2:13" x14ac:dyDescent="0.3">
      <c r="B45" t="s">
        <v>765</v>
      </c>
      <c r="C45">
        <v>98577.446999999986</v>
      </c>
      <c r="D45">
        <v>107038.851</v>
      </c>
      <c r="E45">
        <v>109708.5</v>
      </c>
      <c r="F45">
        <v>117213.965</v>
      </c>
      <c r="G45">
        <v>116452.58699999998</v>
      </c>
      <c r="H45">
        <v>117507.42599999999</v>
      </c>
      <c r="I45">
        <v>120825.24099999999</v>
      </c>
      <c r="J45">
        <v>121131.81700000001</v>
      </c>
      <c r="K45">
        <v>126980</v>
      </c>
      <c r="L45">
        <v>131757</v>
      </c>
      <c r="M45" s="291">
        <v>138430</v>
      </c>
    </row>
    <row r="46" spans="2:13" x14ac:dyDescent="0.3">
      <c r="B46" t="s">
        <v>766</v>
      </c>
      <c r="C46">
        <v>15921.817999999999</v>
      </c>
      <c r="D46">
        <v>20232.47</v>
      </c>
      <c r="E46">
        <v>20259.379000000001</v>
      </c>
      <c r="F46">
        <v>22723.623</v>
      </c>
      <c r="G46">
        <v>23251.454000000005</v>
      </c>
      <c r="H46">
        <v>19724.304000000004</v>
      </c>
      <c r="I46">
        <v>20458.191999999995</v>
      </c>
      <c r="J46">
        <v>20996.799999999999</v>
      </c>
      <c r="K46">
        <v>21477</v>
      </c>
      <c r="L46">
        <v>22192</v>
      </c>
      <c r="M46" s="291">
        <v>24296</v>
      </c>
    </row>
    <row r="49" spans="2:15" x14ac:dyDescent="0.3">
      <c r="B49" t="s">
        <v>616</v>
      </c>
    </row>
    <row r="50" spans="2:15" x14ac:dyDescent="0.3">
      <c r="B50" t="s">
        <v>767</v>
      </c>
    </row>
    <row r="51" spans="2:15" x14ac:dyDescent="0.3">
      <c r="B51" t="s">
        <v>768</v>
      </c>
    </row>
    <row r="55" spans="2:15" x14ac:dyDescent="0.3">
      <c r="B55" t="s">
        <v>769</v>
      </c>
    </row>
    <row r="56" spans="2:15" x14ac:dyDescent="0.3">
      <c r="B56" t="s">
        <v>752</v>
      </c>
    </row>
    <row r="57" spans="2:15" x14ac:dyDescent="0.3">
      <c r="B57" t="s">
        <v>770</v>
      </c>
    </row>
    <row r="60" spans="2:15" x14ac:dyDescent="0.3">
      <c r="C60" t="s">
        <v>253</v>
      </c>
      <c r="D60" t="s">
        <v>254</v>
      </c>
      <c r="E60" t="s">
        <v>626</v>
      </c>
      <c r="F60" t="s">
        <v>627</v>
      </c>
      <c r="G60" t="s">
        <v>592</v>
      </c>
      <c r="H60" t="s">
        <v>593</v>
      </c>
      <c r="I60" t="s">
        <v>255</v>
      </c>
      <c r="J60" t="s">
        <v>589</v>
      </c>
      <c r="K60">
        <v>2002</v>
      </c>
      <c r="L60">
        <v>2003</v>
      </c>
      <c r="M60">
        <v>2004</v>
      </c>
    </row>
    <row r="61" spans="2:15" x14ac:dyDescent="0.3">
      <c r="J61" t="s">
        <v>105</v>
      </c>
      <c r="K61" t="s">
        <v>105</v>
      </c>
      <c r="L61" t="s">
        <v>105</v>
      </c>
    </row>
    <row r="62" spans="2:15" x14ac:dyDescent="0.3">
      <c r="M62" s="291" t="s">
        <v>953</v>
      </c>
      <c r="O62" t="s">
        <v>952</v>
      </c>
    </row>
    <row r="63" spans="2:15" x14ac:dyDescent="0.3">
      <c r="B63" t="s">
        <v>754</v>
      </c>
      <c r="C63">
        <v>114499.26199999999</v>
      </c>
      <c r="D63">
        <v>142849.06100000002</v>
      </c>
      <c r="E63">
        <v>161682.67200000002</v>
      </c>
      <c r="F63">
        <v>186493.62099999998</v>
      </c>
      <c r="G63">
        <v>196962.65800000002</v>
      </c>
      <c r="H63">
        <v>203864.508</v>
      </c>
      <c r="I63">
        <v>218676.96299999999</v>
      </c>
      <c r="J63">
        <v>221432.18</v>
      </c>
      <c r="K63">
        <v>233036</v>
      </c>
      <c r="L63">
        <v>247893</v>
      </c>
      <c r="M63" s="210">
        <v>276270.11728395883</v>
      </c>
      <c r="O63" s="210">
        <v>275600</v>
      </c>
    </row>
    <row r="64" spans="2:15" x14ac:dyDescent="0.3">
      <c r="M64" s="210"/>
      <c r="O64" s="210"/>
    </row>
    <row r="65" spans="2:15" x14ac:dyDescent="0.3">
      <c r="B65" t="s">
        <v>755</v>
      </c>
      <c r="C65">
        <v>101908.94399999999</v>
      </c>
      <c r="D65">
        <v>127731.226</v>
      </c>
      <c r="E65">
        <v>143707.995</v>
      </c>
      <c r="F65">
        <v>164221.20599999998</v>
      </c>
      <c r="G65">
        <v>174886.23300000007</v>
      </c>
      <c r="H65">
        <v>178009.63499999998</v>
      </c>
      <c r="I65">
        <v>188826.25800000003</v>
      </c>
      <c r="J65">
        <v>191412.59600000002</v>
      </c>
      <c r="K65">
        <v>200225</v>
      </c>
      <c r="L65">
        <v>210623.2</v>
      </c>
      <c r="M65" s="210">
        <v>226550.41148825508</v>
      </c>
      <c r="O65" s="210">
        <v>226561</v>
      </c>
    </row>
    <row r="66" spans="2:15" x14ac:dyDescent="0.3">
      <c r="B66" t="s">
        <v>756</v>
      </c>
      <c r="C66">
        <v>71306.27399999999</v>
      </c>
      <c r="D66">
        <v>85932.852000000014</v>
      </c>
      <c r="E66">
        <v>98598.138999999996</v>
      </c>
      <c r="F66">
        <v>110782.03099999999</v>
      </c>
      <c r="G66">
        <v>118268.98200000002</v>
      </c>
      <c r="H66">
        <v>122261.226</v>
      </c>
      <c r="I66">
        <v>131564.79399999999</v>
      </c>
      <c r="J66">
        <v>136040.28200000001</v>
      </c>
      <c r="K66">
        <v>142533.6</v>
      </c>
      <c r="L66">
        <v>149610.79999999999</v>
      </c>
      <c r="M66" s="210">
        <v>160293.44121313974</v>
      </c>
      <c r="O66" s="210">
        <v>160146</v>
      </c>
    </row>
    <row r="67" spans="2:15" x14ac:dyDescent="0.3">
      <c r="B67" t="s">
        <v>757</v>
      </c>
      <c r="C67">
        <v>8671.5619999999999</v>
      </c>
      <c r="D67">
        <v>11785.537</v>
      </c>
      <c r="E67">
        <v>13826.672000000002</v>
      </c>
      <c r="F67">
        <v>15487.475999999999</v>
      </c>
      <c r="G67">
        <v>17295.756000000001</v>
      </c>
      <c r="H67">
        <v>18854.027999999995</v>
      </c>
      <c r="I67">
        <v>19716.709000000003</v>
      </c>
      <c r="J67">
        <v>20290.284</v>
      </c>
      <c r="K67">
        <v>20386.2</v>
      </c>
      <c r="L67">
        <v>21358.9</v>
      </c>
      <c r="M67" s="210">
        <v>23063.65072442394</v>
      </c>
      <c r="O67" s="210">
        <v>23006.5</v>
      </c>
    </row>
    <row r="68" spans="2:15" x14ac:dyDescent="0.3">
      <c r="B68" t="s">
        <v>758</v>
      </c>
      <c r="C68">
        <v>21931.108</v>
      </c>
      <c r="D68">
        <v>30012.837</v>
      </c>
      <c r="E68">
        <v>31283.184000000005</v>
      </c>
      <c r="F68">
        <v>37951.699000000001</v>
      </c>
      <c r="G68">
        <v>39321.49500000001</v>
      </c>
      <c r="H68">
        <v>36894.381000000001</v>
      </c>
      <c r="I68">
        <v>37544.754999999997</v>
      </c>
      <c r="J68">
        <v>35082.03</v>
      </c>
      <c r="K68">
        <v>37304.9</v>
      </c>
      <c r="L68">
        <v>39653</v>
      </c>
      <c r="M68" s="210">
        <v>43193.319550691398</v>
      </c>
      <c r="O68" s="210">
        <v>43409</v>
      </c>
    </row>
    <row r="69" spans="2:15" x14ac:dyDescent="0.3">
      <c r="B69" t="s">
        <v>759</v>
      </c>
      <c r="C69">
        <v>20900.96</v>
      </c>
      <c r="D69">
        <v>29094.870999999999</v>
      </c>
      <c r="E69">
        <v>30746.678</v>
      </c>
      <c r="F69">
        <v>37472.239000000001</v>
      </c>
      <c r="G69">
        <v>39162.97600000001</v>
      </c>
      <c r="H69">
        <v>37867.358999999997</v>
      </c>
      <c r="I69">
        <v>37610.481</v>
      </c>
      <c r="J69">
        <v>34862.468000000001</v>
      </c>
      <c r="K69">
        <v>35127.599999999999</v>
      </c>
      <c r="L69">
        <v>37747.599999999999</v>
      </c>
      <c r="M69" s="210">
        <v>42265.07859823398</v>
      </c>
      <c r="O69" s="210">
        <v>42150.1</v>
      </c>
    </row>
    <row r="70" spans="2:15" x14ac:dyDescent="0.3">
      <c r="B70" t="s">
        <v>760</v>
      </c>
      <c r="C70">
        <v>16162.411</v>
      </c>
      <c r="D70">
        <v>23424.258999999998</v>
      </c>
      <c r="E70">
        <v>24914.733</v>
      </c>
      <c r="F70">
        <v>30506.501</v>
      </c>
      <c r="G70">
        <v>31634.559000000001</v>
      </c>
      <c r="H70">
        <v>29424.847999999994</v>
      </c>
      <c r="I70">
        <v>30151.144999999997</v>
      </c>
      <c r="J70">
        <v>28942.311000000002</v>
      </c>
      <c r="K70">
        <v>29473.9</v>
      </c>
      <c r="L70">
        <v>31678.9</v>
      </c>
      <c r="M70" s="210">
        <v>35822.487304829796</v>
      </c>
      <c r="O70" s="210">
        <v>35669.199999999997</v>
      </c>
    </row>
    <row r="71" spans="2:15" x14ac:dyDescent="0.3">
      <c r="B71" t="s">
        <v>761</v>
      </c>
      <c r="C71">
        <v>4738.5489999999991</v>
      </c>
      <c r="D71">
        <v>5670.612000000001</v>
      </c>
      <c r="E71">
        <v>5831.9449999999997</v>
      </c>
      <c r="F71">
        <v>6965.7380000000012</v>
      </c>
      <c r="G71">
        <v>7528.4170000000013</v>
      </c>
      <c r="H71">
        <v>8442.5110000000022</v>
      </c>
      <c r="I71">
        <v>7459.3360000000002</v>
      </c>
      <c r="J71">
        <v>5920.1570000000011</v>
      </c>
      <c r="K71">
        <v>5653.7</v>
      </c>
      <c r="L71">
        <v>6068.7</v>
      </c>
      <c r="M71" s="210">
        <v>6442.5912934041844</v>
      </c>
      <c r="O71" s="210">
        <v>6480.9</v>
      </c>
    </row>
    <row r="72" spans="2:15" x14ac:dyDescent="0.3">
      <c r="B72" t="s">
        <v>762</v>
      </c>
      <c r="C72">
        <v>1030.1480000000013</v>
      </c>
      <c r="D72">
        <v>917.96600000000046</v>
      </c>
      <c r="E72">
        <v>536.50600000000156</v>
      </c>
      <c r="F72">
        <v>479.4599999999993</v>
      </c>
      <c r="G72">
        <v>158.51900000000023</v>
      </c>
      <c r="H72">
        <v>-972.97799999999575</v>
      </c>
      <c r="I72">
        <v>-65.726000000002159</v>
      </c>
      <c r="J72">
        <v>219.56199999999825</v>
      </c>
      <c r="K72">
        <v>2177.3000000000002</v>
      </c>
      <c r="L72">
        <v>1905.9</v>
      </c>
      <c r="M72" s="210">
        <v>928.14095245741782</v>
      </c>
      <c r="O72" s="210">
        <v>1259</v>
      </c>
    </row>
    <row r="73" spans="2:15" x14ac:dyDescent="0.3">
      <c r="M73" s="210"/>
      <c r="O73" s="210"/>
    </row>
    <row r="74" spans="2:15" x14ac:dyDescent="0.3">
      <c r="B74" t="s">
        <v>763</v>
      </c>
      <c r="C74">
        <v>12590.317999999999</v>
      </c>
      <c r="D74">
        <v>15117.835000000001</v>
      </c>
      <c r="E74">
        <v>17974.677</v>
      </c>
      <c r="F74">
        <v>22272.415000000005</v>
      </c>
      <c r="G74">
        <v>22076.424999999999</v>
      </c>
      <c r="H74">
        <v>25854.873</v>
      </c>
      <c r="I74">
        <v>29850.705000000005</v>
      </c>
      <c r="J74">
        <v>30019.583999999995</v>
      </c>
      <c r="K74">
        <v>32810.9</v>
      </c>
      <c r="L74">
        <v>37270.199999999997</v>
      </c>
      <c r="M74" s="210">
        <v>49720.005795703779</v>
      </c>
      <c r="O74" s="210">
        <v>49038.6</v>
      </c>
    </row>
    <row r="75" spans="2:15" x14ac:dyDescent="0.3">
      <c r="M75" s="210"/>
      <c r="O75" s="210"/>
    </row>
    <row r="76" spans="2:15" x14ac:dyDescent="0.3">
      <c r="B76" t="s">
        <v>764</v>
      </c>
      <c r="C76">
        <v>114499.26199999999</v>
      </c>
      <c r="D76">
        <v>142849.06100000002</v>
      </c>
      <c r="E76">
        <v>161682.67200000002</v>
      </c>
      <c r="F76">
        <v>186493.62099999998</v>
      </c>
      <c r="G76">
        <v>196962.65800000002</v>
      </c>
      <c r="H76">
        <v>203864.508</v>
      </c>
      <c r="I76">
        <v>218676.96299999999</v>
      </c>
      <c r="J76">
        <v>221432.18</v>
      </c>
      <c r="K76">
        <v>233036</v>
      </c>
      <c r="L76">
        <v>247893</v>
      </c>
      <c r="M76" s="210">
        <v>276270.11728395883</v>
      </c>
      <c r="O76" s="210">
        <v>275600</v>
      </c>
    </row>
    <row r="77" spans="2:15" x14ac:dyDescent="0.3">
      <c r="M77" s="210"/>
      <c r="O77" s="210"/>
    </row>
    <row r="78" spans="2:15" x14ac:dyDescent="0.3">
      <c r="B78" t="s">
        <v>765</v>
      </c>
      <c r="C78">
        <v>98577.443999999989</v>
      </c>
      <c r="D78">
        <v>120858.18700000001</v>
      </c>
      <c r="E78">
        <v>136928.81400000001</v>
      </c>
      <c r="F78">
        <v>157274.46299999999</v>
      </c>
      <c r="G78">
        <v>165948.91400000002</v>
      </c>
      <c r="H78">
        <v>173957.43700000001</v>
      </c>
      <c r="I78">
        <v>185281.38200000001</v>
      </c>
      <c r="J78">
        <v>188172.03800000003</v>
      </c>
      <c r="K78">
        <v>198656.8</v>
      </c>
      <c r="L78">
        <v>210747.4</v>
      </c>
      <c r="M78" s="210">
        <v>233029.26370573579</v>
      </c>
      <c r="O78" s="210">
        <v>233432</v>
      </c>
    </row>
    <row r="79" spans="2:15" x14ac:dyDescent="0.3">
      <c r="B79" t="s">
        <v>766</v>
      </c>
      <c r="C79">
        <v>15921.817999999999</v>
      </c>
      <c r="D79">
        <v>21990.874</v>
      </c>
      <c r="E79">
        <v>24753.858</v>
      </c>
      <c r="F79">
        <v>29219.157999999999</v>
      </c>
      <c r="G79">
        <v>31013.743999999999</v>
      </c>
      <c r="H79">
        <v>29907.070999999996</v>
      </c>
      <c r="I79">
        <v>33395.580999999991</v>
      </c>
      <c r="J79">
        <v>33260.141999999993</v>
      </c>
      <c r="K79">
        <v>34378.699999999997</v>
      </c>
      <c r="L79">
        <v>37145.9</v>
      </c>
      <c r="M79" s="210">
        <v>43240.853578223046</v>
      </c>
      <c r="O79" s="210">
        <v>42167.5</v>
      </c>
    </row>
    <row r="82" spans="2:2" x14ac:dyDescent="0.3">
      <c r="B82" t="s">
        <v>616</v>
      </c>
    </row>
    <row r="83" spans="2:2" x14ac:dyDescent="0.3">
      <c r="B83" t="s">
        <v>767</v>
      </c>
    </row>
    <row r="84" spans="2:2" x14ac:dyDescent="0.3">
      <c r="B84" t="s">
        <v>768</v>
      </c>
    </row>
  </sheetData>
  <mergeCells count="1">
    <mergeCell ref="B19:C19"/>
  </mergeCells>
  <phoneticPr fontId="0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0860-1B17-4110-BABF-2D9F0B97FF59}">
  <dimension ref="A1:U3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9" sqref="B9"/>
    </sheetView>
  </sheetViews>
  <sheetFormatPr defaultColWidth="11" defaultRowHeight="13" x14ac:dyDescent="0.3"/>
  <cols>
    <col min="1" max="1" width="30.33203125" customWidth="1"/>
    <col min="2" max="2" width="7.6640625" customWidth="1"/>
    <col min="3" max="3" width="8" customWidth="1"/>
    <col min="4" max="4" width="7.6640625" customWidth="1"/>
    <col min="5" max="6" width="8.109375" customWidth="1"/>
    <col min="7" max="7" width="8" customWidth="1"/>
    <col min="8" max="8" width="8.44140625" customWidth="1"/>
    <col min="9" max="12" width="8.88671875" customWidth="1"/>
  </cols>
  <sheetData>
    <row r="1" spans="1:16" x14ac:dyDescent="0.3">
      <c r="A1" s="323" t="s">
        <v>618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</row>
    <row r="2" spans="1:16" x14ac:dyDescent="0.3">
      <c r="A2" s="214"/>
      <c r="B2" s="324"/>
      <c r="C2" s="324"/>
      <c r="D2" s="17"/>
      <c r="E2" s="17"/>
      <c r="F2" s="17"/>
      <c r="G2" s="17"/>
      <c r="H2" s="17"/>
      <c r="I2" s="17"/>
      <c r="J2" s="17"/>
      <c r="K2" s="17"/>
      <c r="L2" s="17"/>
    </row>
    <row r="3" spans="1:16" x14ac:dyDescent="0.3">
      <c r="A3" s="325" t="s">
        <v>418</v>
      </c>
      <c r="B3" s="326" t="s">
        <v>419</v>
      </c>
      <c r="C3" s="327"/>
      <c r="D3" s="326"/>
      <c r="E3" s="328"/>
      <c r="F3" s="328"/>
      <c r="G3" s="328"/>
      <c r="H3" s="328"/>
      <c r="I3" s="328"/>
      <c r="J3" s="328"/>
      <c r="K3" s="328"/>
      <c r="L3" s="328"/>
    </row>
    <row r="4" spans="1:16" x14ac:dyDescent="0.3">
      <c r="A4" s="329"/>
      <c r="B4" s="330">
        <v>1990</v>
      </c>
      <c r="C4" s="330">
        <v>1991</v>
      </c>
      <c r="D4" s="330">
        <v>1992</v>
      </c>
      <c r="E4" s="330">
        <v>1993</v>
      </c>
      <c r="F4" s="330">
        <v>1994</v>
      </c>
      <c r="G4" s="330">
        <v>1995</v>
      </c>
      <c r="H4" s="330">
        <v>1996</v>
      </c>
      <c r="I4" s="330">
        <v>1997</v>
      </c>
      <c r="J4" s="330">
        <v>1998</v>
      </c>
      <c r="K4" s="330">
        <v>1999</v>
      </c>
      <c r="L4" s="330">
        <v>2000</v>
      </c>
      <c r="M4" s="330">
        <v>2001</v>
      </c>
      <c r="N4" s="330">
        <v>2002</v>
      </c>
      <c r="O4" s="330">
        <v>2003</v>
      </c>
      <c r="P4" s="723">
        <v>2004</v>
      </c>
    </row>
    <row r="5" spans="1:16" x14ac:dyDescent="0.3">
      <c r="A5" s="329"/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</row>
    <row r="6" spans="1:16" x14ac:dyDescent="0.3">
      <c r="A6" s="332" t="s">
        <v>420</v>
      </c>
      <c r="B6" s="333">
        <v>274.46499999999997</v>
      </c>
      <c r="C6" s="333">
        <v>1251</v>
      </c>
      <c r="D6" s="333">
        <v>3261</v>
      </c>
      <c r="E6" s="333">
        <v>5894</v>
      </c>
      <c r="F6" s="333">
        <v>12464</v>
      </c>
      <c r="G6" s="333">
        <v>15339.97599981</v>
      </c>
      <c r="H6" s="333">
        <v>22204.969300799999</v>
      </c>
      <c r="I6" s="333">
        <v>27659.878913600001</v>
      </c>
      <c r="J6" s="333">
        <v>28927.8746001</v>
      </c>
      <c r="K6" s="333">
        <v>29496.7307349</v>
      </c>
      <c r="L6" s="333">
        <v>28875.325481700002</v>
      </c>
      <c r="M6" s="333">
        <v>29629.892420799999</v>
      </c>
      <c r="N6" s="333">
        <v>33689.363011200003</v>
      </c>
      <c r="O6" s="333">
        <v>35272.294435000003</v>
      </c>
      <c r="P6" s="333">
        <v>41429.746616800003</v>
      </c>
    </row>
    <row r="7" spans="1:16" x14ac:dyDescent="0.3">
      <c r="A7" s="334" t="s">
        <v>421</v>
      </c>
      <c r="B7" s="335">
        <v>531</v>
      </c>
      <c r="C7" s="335">
        <v>1304</v>
      </c>
      <c r="D7" s="335">
        <v>2001</v>
      </c>
      <c r="E7" s="335">
        <v>2742</v>
      </c>
      <c r="F7" s="335">
        <v>5718</v>
      </c>
      <c r="G7" s="335">
        <v>6640.6822510000002</v>
      </c>
      <c r="H7" s="335">
        <v>8540.3728080000001</v>
      </c>
      <c r="I7" s="335">
        <v>10169.073130000001</v>
      </c>
      <c r="J7" s="335">
        <v>9183.4522539999998</v>
      </c>
      <c r="K7" s="335">
        <v>8403.6269900000007</v>
      </c>
      <c r="L7" s="335">
        <v>8179.9788900000003</v>
      </c>
      <c r="M7" s="335">
        <v>8613.3408199999994</v>
      </c>
      <c r="N7" s="335">
        <v>9598.1091199999992</v>
      </c>
      <c r="O7" s="335">
        <v>10194.304749999999</v>
      </c>
      <c r="P7" s="335">
        <v>12631.02</v>
      </c>
    </row>
    <row r="8" spans="1:16" x14ac:dyDescent="0.3">
      <c r="A8" s="334" t="s">
        <v>422</v>
      </c>
      <c r="B8" s="335">
        <v>931.15300000000002</v>
      </c>
      <c r="C8" s="335">
        <v>2532</v>
      </c>
      <c r="D8" s="335">
        <v>5142</v>
      </c>
      <c r="E8" s="335">
        <v>8307</v>
      </c>
      <c r="F8" s="335">
        <v>15114</v>
      </c>
      <c r="G8" s="335">
        <v>18143.4095997</v>
      </c>
      <c r="H8" s="335">
        <v>25044.892800199999</v>
      </c>
      <c r="I8" s="335">
        <v>30243.750502399998</v>
      </c>
      <c r="J8" s="335">
        <v>31444.06670055</v>
      </c>
      <c r="K8" s="335">
        <v>31599.797427900001</v>
      </c>
      <c r="L8" s="335">
        <v>30226.666702999999</v>
      </c>
      <c r="M8" s="335">
        <v>30402.818831199998</v>
      </c>
      <c r="N8" s="335">
        <v>34013.591609399999</v>
      </c>
      <c r="O8" s="335">
        <v>35312.674849399998</v>
      </c>
      <c r="P8" s="335">
        <v>12648.919</v>
      </c>
    </row>
    <row r="9" spans="1:16" x14ac:dyDescent="0.3">
      <c r="A9" s="334" t="s">
        <v>423</v>
      </c>
      <c r="B9" s="335">
        <v>656.68799999999999</v>
      </c>
      <c r="C9" s="335">
        <v>1281</v>
      </c>
      <c r="D9" s="335">
        <v>1881</v>
      </c>
      <c r="E9" s="335">
        <v>2413</v>
      </c>
      <c r="F9" s="335">
        <v>2650</v>
      </c>
      <c r="G9" s="335">
        <v>2803.4335998900001</v>
      </c>
      <c r="H9" s="335">
        <v>2839.902</v>
      </c>
      <c r="I9" s="335">
        <v>2584</v>
      </c>
      <c r="J9" s="335">
        <v>2516.1885000000002</v>
      </c>
      <c r="K9" s="335">
        <v>2103.0666930000002</v>
      </c>
      <c r="L9" s="335">
        <v>1351.3412212999999</v>
      </c>
      <c r="M9" s="335">
        <v>772.92641040000001</v>
      </c>
      <c r="N9" s="335">
        <v>324.22859820000002</v>
      </c>
      <c r="O9" s="335">
        <v>40.380414399999999</v>
      </c>
      <c r="P9" s="335">
        <v>17.899000000000001</v>
      </c>
    </row>
    <row r="10" spans="1:16" x14ac:dyDescent="0.3">
      <c r="A10" s="332" t="s">
        <v>424</v>
      </c>
      <c r="B10" s="335"/>
      <c r="C10" s="335"/>
      <c r="D10" s="335"/>
      <c r="E10" s="335"/>
      <c r="F10" s="335"/>
      <c r="G10" s="335"/>
      <c r="H10" s="336"/>
      <c r="I10" s="336"/>
      <c r="J10" s="336"/>
      <c r="K10" s="336"/>
      <c r="L10" s="336"/>
    </row>
    <row r="11" spans="1:16" x14ac:dyDescent="0.3">
      <c r="A11" s="332" t="s">
        <v>425</v>
      </c>
      <c r="B11" s="333">
        <v>-21.489000000000001</v>
      </c>
      <c r="C11" s="333">
        <v>-87</v>
      </c>
      <c r="D11" s="333">
        <v>-134</v>
      </c>
      <c r="E11" s="333">
        <v>-8</v>
      </c>
      <c r="F11" s="333">
        <v>-36</v>
      </c>
      <c r="G11" s="333">
        <v>-25.379899995999999</v>
      </c>
      <c r="H11" s="333">
        <v>-14.147</v>
      </c>
      <c r="I11" s="333">
        <v>0.89159999999999995</v>
      </c>
      <c r="J11" s="333">
        <v>11.776100001</v>
      </c>
      <c r="K11" s="333">
        <v>8.7660927999999991</v>
      </c>
      <c r="L11" s="333">
        <v>36.275791599999998</v>
      </c>
      <c r="M11" s="333">
        <v>41.296693599999998</v>
      </c>
      <c r="N11" s="333">
        <v>42.363086699999997</v>
      </c>
      <c r="O11" s="333">
        <v>39.261802000000003</v>
      </c>
      <c r="P11" s="333">
        <v>34.624687199999997</v>
      </c>
    </row>
    <row r="12" spans="1:16" x14ac:dyDescent="0.3">
      <c r="A12" s="334" t="s">
        <v>426</v>
      </c>
      <c r="B12" s="335">
        <v>5.35</v>
      </c>
      <c r="C12" s="335">
        <v>243</v>
      </c>
      <c r="D12" s="335">
        <v>371</v>
      </c>
      <c r="E12" s="335">
        <v>1096</v>
      </c>
      <c r="F12" s="335">
        <v>1142</v>
      </c>
      <c r="G12" s="335">
        <v>1299.1024000069999</v>
      </c>
      <c r="H12" s="335">
        <v>1270.716900012</v>
      </c>
      <c r="I12" s="335">
        <v>1344.701500013</v>
      </c>
      <c r="J12" s="335">
        <v>1409.684299987</v>
      </c>
      <c r="K12" s="335">
        <v>2444.1713101999999</v>
      </c>
      <c r="L12" s="335">
        <v>2973.5044916000002</v>
      </c>
      <c r="M12" s="335">
        <v>2941.2029935999999</v>
      </c>
      <c r="N12" s="335">
        <v>2821.9632867</v>
      </c>
      <c r="O12" s="335">
        <v>3097.705402</v>
      </c>
      <c r="P12" s="335">
        <v>3262.5470872000001</v>
      </c>
    </row>
    <row r="13" spans="1:16" x14ac:dyDescent="0.3">
      <c r="A13" s="334" t="s">
        <v>427</v>
      </c>
      <c r="B13" s="335">
        <v>26.838999999999999</v>
      </c>
      <c r="C13" s="335">
        <v>330</v>
      </c>
      <c r="D13" s="335">
        <v>505</v>
      </c>
      <c r="E13" s="335">
        <v>1104</v>
      </c>
      <c r="F13" s="335">
        <v>1178</v>
      </c>
      <c r="G13" s="335">
        <v>1324.4823000020001</v>
      </c>
      <c r="H13" s="335">
        <v>1284.8639000119999</v>
      </c>
      <c r="I13" s="335">
        <v>1343.8099000049999</v>
      </c>
      <c r="J13" s="335">
        <v>1397.9082000010001</v>
      </c>
      <c r="K13" s="335">
        <v>2435.4052173999999</v>
      </c>
      <c r="L13" s="335">
        <v>2937.2287000000001</v>
      </c>
      <c r="M13" s="335">
        <v>2899.9063000000001</v>
      </c>
      <c r="N13" s="335">
        <v>2779.6001999999999</v>
      </c>
      <c r="O13" s="335">
        <v>3058.4436000000001</v>
      </c>
      <c r="P13" s="335">
        <v>3227.9223999999999</v>
      </c>
    </row>
    <row r="14" spans="1:16" x14ac:dyDescent="0.3">
      <c r="A14" s="332" t="s">
        <v>428</v>
      </c>
      <c r="B14" s="333">
        <v>351.88600000000002</v>
      </c>
      <c r="C14" s="333">
        <v>500</v>
      </c>
      <c r="D14" s="333">
        <v>222</v>
      </c>
      <c r="E14" s="333">
        <v>-561</v>
      </c>
      <c r="F14" s="333">
        <v>-4659</v>
      </c>
      <c r="G14" s="333">
        <v>-5179</v>
      </c>
      <c r="H14" s="333">
        <v>-9834</v>
      </c>
      <c r="I14" s="333">
        <v>-12364</v>
      </c>
      <c r="J14" s="333">
        <v>-14322</v>
      </c>
      <c r="K14" s="333">
        <v>-12966</v>
      </c>
      <c r="L14" s="333">
        <v>-12104</v>
      </c>
      <c r="M14" s="333">
        <v>-11496</v>
      </c>
      <c r="N14" s="333">
        <v>-14127</v>
      </c>
      <c r="O14" s="333">
        <v>-14333</v>
      </c>
      <c r="P14" s="333">
        <v>-14575</v>
      </c>
    </row>
    <row r="15" spans="1:16" x14ac:dyDescent="0.3">
      <c r="A15" s="334" t="s">
        <v>429</v>
      </c>
      <c r="B15" s="335">
        <v>-133.17699999999999</v>
      </c>
      <c r="C15" s="335">
        <v>-158</v>
      </c>
      <c r="D15" s="335">
        <v>-403</v>
      </c>
      <c r="E15" s="335">
        <v>-639</v>
      </c>
      <c r="F15" s="335">
        <v>-3632</v>
      </c>
      <c r="G15" s="335">
        <v>-4857.4354001800002</v>
      </c>
      <c r="H15" s="335">
        <v>-7964.0239001999998</v>
      </c>
      <c r="I15" s="335">
        <v>-10763.811499199999</v>
      </c>
      <c r="J15" s="335">
        <v>-11976.587100250001</v>
      </c>
      <c r="K15" s="335">
        <v>-10157.836406324999</v>
      </c>
      <c r="L15" s="335">
        <v>-9440.7989035329992</v>
      </c>
      <c r="M15" s="335">
        <v>-8557.1238139060006</v>
      </c>
      <c r="N15" s="335">
        <v>-10111.811703619</v>
      </c>
      <c r="O15" s="335">
        <v>-9665.3180223920008</v>
      </c>
      <c r="P15" s="335">
        <v>-10474.651175999999</v>
      </c>
    </row>
    <row r="16" spans="1:16" x14ac:dyDescent="0.3">
      <c r="A16" s="334" t="s">
        <v>430</v>
      </c>
      <c r="B16" s="335">
        <v>1.6619999999999999</v>
      </c>
      <c r="C16" s="335">
        <v>7</v>
      </c>
      <c r="D16" s="335">
        <v>8</v>
      </c>
      <c r="E16" s="335">
        <v>8</v>
      </c>
      <c r="F16" s="335">
        <v>0</v>
      </c>
      <c r="G16" s="337">
        <v>0</v>
      </c>
      <c r="H16" s="337">
        <v>0</v>
      </c>
      <c r="I16" s="337">
        <v>0</v>
      </c>
      <c r="J16" s="337">
        <v>0</v>
      </c>
      <c r="K16" s="337">
        <v>0</v>
      </c>
      <c r="L16" s="337">
        <v>0</v>
      </c>
      <c r="M16" s="337">
        <v>0</v>
      </c>
      <c r="N16" s="337">
        <v>0</v>
      </c>
      <c r="O16" s="335">
        <v>0</v>
      </c>
      <c r="P16" s="335">
        <v>0</v>
      </c>
    </row>
    <row r="17" spans="1:21" x14ac:dyDescent="0.3">
      <c r="A17" s="334" t="s">
        <v>431</v>
      </c>
      <c r="B17" s="335">
        <v>210.90199999999999</v>
      </c>
      <c r="C17" s="335">
        <v>259</v>
      </c>
      <c r="D17" s="335">
        <v>370</v>
      </c>
      <c r="E17" s="335">
        <v>358</v>
      </c>
      <c r="F17" s="335">
        <v>-196</v>
      </c>
      <c r="G17" s="335">
        <v>-114.24850000000001</v>
      </c>
      <c r="H17" s="335">
        <v>-1162.3203000000001</v>
      </c>
      <c r="I17" s="335">
        <v>-790.59289998999998</v>
      </c>
      <c r="J17" s="335">
        <v>-349.42660000199999</v>
      </c>
      <c r="K17" s="335">
        <v>72.297822499999995</v>
      </c>
      <c r="L17" s="335">
        <v>-504.71040490000001</v>
      </c>
      <c r="M17" s="335">
        <v>-749.01218960000006</v>
      </c>
      <c r="N17" s="335">
        <v>-851.28458269999999</v>
      </c>
      <c r="O17" s="335">
        <v>-1413.5658062</v>
      </c>
      <c r="P17" s="335">
        <v>-1941</v>
      </c>
    </row>
    <row r="18" spans="1:21" x14ac:dyDescent="0.3">
      <c r="A18" s="334" t="s">
        <v>432</v>
      </c>
      <c r="B18" s="335">
        <v>272.49900000000002</v>
      </c>
      <c r="C18" s="335">
        <v>391</v>
      </c>
      <c r="D18" s="335">
        <v>247</v>
      </c>
      <c r="E18" s="335">
        <v>-288</v>
      </c>
      <c r="F18" s="335">
        <v>-831</v>
      </c>
      <c r="G18" s="337">
        <v>-207.32529982</v>
      </c>
      <c r="H18" s="337">
        <v>-707.66499980000003</v>
      </c>
      <c r="I18" s="337">
        <v>-809.60480080999992</v>
      </c>
      <c r="J18" s="337">
        <v>-1995.9954997479999</v>
      </c>
      <c r="K18" s="337">
        <v>-2880.470616175</v>
      </c>
      <c r="L18" s="337">
        <v>-2158.4998915669998</v>
      </c>
      <c r="M18" s="337">
        <v>-2189.8731964939998</v>
      </c>
      <c r="N18" s="337">
        <v>-3163.9129136810002</v>
      </c>
      <c r="O18" s="335">
        <v>-3254.1253714080003</v>
      </c>
      <c r="P18" s="335">
        <v>-2159</v>
      </c>
    </row>
    <row r="19" spans="1:21" x14ac:dyDescent="0.3">
      <c r="A19" s="332" t="s">
        <v>433</v>
      </c>
      <c r="B19" s="333"/>
      <c r="C19" s="333"/>
      <c r="D19" s="333"/>
      <c r="E19" s="333"/>
      <c r="F19" s="333"/>
      <c r="G19" s="333"/>
      <c r="H19" s="338"/>
      <c r="I19" s="338"/>
      <c r="J19" s="338"/>
      <c r="K19" s="338"/>
      <c r="L19" s="338"/>
    </row>
    <row r="20" spans="1:21" x14ac:dyDescent="0.3">
      <c r="A20" s="334" t="s">
        <v>434</v>
      </c>
      <c r="B20" s="333">
        <v>604.86199999999997</v>
      </c>
      <c r="C20" s="333">
        <v>1664</v>
      </c>
      <c r="D20" s="333">
        <v>3349</v>
      </c>
      <c r="E20" s="333">
        <v>5325</v>
      </c>
      <c r="F20" s="333">
        <v>7769</v>
      </c>
      <c r="G20" s="333">
        <v>10135.83400049</v>
      </c>
      <c r="H20" s="333">
        <v>12356.7380992</v>
      </c>
      <c r="I20" s="333">
        <v>15296.74880096</v>
      </c>
      <c r="J20" s="333">
        <v>14618.42729865</v>
      </c>
      <c r="K20" s="333">
        <v>16540.112273300001</v>
      </c>
      <c r="L20" s="333">
        <v>16806.689090799999</v>
      </c>
      <c r="M20" s="333">
        <v>18175.002009600001</v>
      </c>
      <c r="N20" s="333">
        <v>19603.974603800001</v>
      </c>
      <c r="O20" s="333">
        <v>20977.908474799999</v>
      </c>
      <c r="P20" s="333">
        <v>26890.0797704</v>
      </c>
    </row>
    <row r="21" spans="1:21" ht="20" x14ac:dyDescent="0.4">
      <c r="A21" s="334" t="s">
        <v>435</v>
      </c>
      <c r="B21" s="335">
        <v>424.18099999999998</v>
      </c>
      <c r="C21" s="335">
        <v>832</v>
      </c>
      <c r="D21" s="335">
        <v>1350</v>
      </c>
      <c r="E21" s="335">
        <v>1803</v>
      </c>
      <c r="F21" s="335">
        <v>2672</v>
      </c>
      <c r="G21" s="335">
        <v>3658.3535999999999</v>
      </c>
      <c r="H21" s="335">
        <v>3995.9976999999999</v>
      </c>
      <c r="I21" s="335">
        <v>4760.7142000000003</v>
      </c>
      <c r="J21" s="335">
        <v>5022.7169999999996</v>
      </c>
      <c r="K21" s="335">
        <v>5875.7253000000001</v>
      </c>
      <c r="L21" s="335">
        <v>5642.4183000000003</v>
      </c>
      <c r="M21" s="335">
        <v>6087.3207000000002</v>
      </c>
      <c r="N21" s="335">
        <v>6759.0029999999997</v>
      </c>
      <c r="O21" s="335">
        <v>7441.1781000000001</v>
      </c>
      <c r="P21" s="335">
        <v>9326.8971999999994</v>
      </c>
      <c r="T21" s="724"/>
      <c r="U21" s="209"/>
    </row>
    <row r="22" spans="1:21" ht="20" x14ac:dyDescent="0.4">
      <c r="A22" s="334" t="s">
        <v>436</v>
      </c>
      <c r="B22" s="335">
        <v>272.87400000000002</v>
      </c>
      <c r="C22" s="335">
        <v>643</v>
      </c>
      <c r="D22" s="335">
        <v>1101</v>
      </c>
      <c r="E22" s="335">
        <v>1590</v>
      </c>
      <c r="F22" s="335">
        <v>2385</v>
      </c>
      <c r="G22" s="335">
        <v>3042.7208999999998</v>
      </c>
      <c r="H22" s="335">
        <v>3244.8516</v>
      </c>
      <c r="I22" s="335">
        <v>3826.9976000000001</v>
      </c>
      <c r="J22" s="335">
        <v>3950.0497999999998</v>
      </c>
      <c r="K22" s="335">
        <v>4630.7320335599998</v>
      </c>
      <c r="L22" s="335">
        <v>4537.4706335600004</v>
      </c>
      <c r="M22" s="335">
        <v>4945.0844408800003</v>
      </c>
      <c r="N22" s="335">
        <v>5614.9611785799998</v>
      </c>
      <c r="O22" s="335">
        <v>6370.2529999999997</v>
      </c>
      <c r="P22" s="335">
        <v>8035.2835999999998</v>
      </c>
      <c r="T22" s="724"/>
    </row>
    <row r="23" spans="1:21" ht="20" x14ac:dyDescent="0.4">
      <c r="A23" s="334" t="s">
        <v>437</v>
      </c>
      <c r="B23" s="335">
        <v>151.30699999999996</v>
      </c>
      <c r="C23" s="335">
        <v>189</v>
      </c>
      <c r="D23" s="335">
        <v>249</v>
      </c>
      <c r="E23" s="335">
        <v>213</v>
      </c>
      <c r="F23" s="335">
        <v>284</v>
      </c>
      <c r="G23" s="335">
        <v>551.14400000000001</v>
      </c>
      <c r="H23" s="335">
        <v>716.45799999999997</v>
      </c>
      <c r="I23" s="335">
        <v>818.06299999999999</v>
      </c>
      <c r="J23" s="335">
        <v>875.2</v>
      </c>
      <c r="K23" s="335">
        <v>1183.9569664400001</v>
      </c>
      <c r="L23" s="335">
        <v>1037.9569664400001</v>
      </c>
      <c r="M23" s="335">
        <v>1048.2470591199999</v>
      </c>
      <c r="N23" s="335">
        <v>1005.10362142</v>
      </c>
      <c r="O23" s="335">
        <v>938.59900000000005</v>
      </c>
      <c r="P23" s="725" t="s">
        <v>180</v>
      </c>
      <c r="T23" s="724"/>
    </row>
    <row r="24" spans="1:21" x14ac:dyDescent="0.3">
      <c r="A24" s="334" t="s">
        <v>438</v>
      </c>
      <c r="B24" s="335" t="s">
        <v>180</v>
      </c>
      <c r="C24" s="335" t="s">
        <v>180</v>
      </c>
      <c r="D24" s="335" t="s">
        <v>180</v>
      </c>
      <c r="E24" s="335">
        <v>12</v>
      </c>
      <c r="F24" s="335">
        <v>349</v>
      </c>
      <c r="G24" s="335">
        <v>440</v>
      </c>
      <c r="H24" s="335">
        <v>50.85</v>
      </c>
      <c r="I24" s="335">
        <v>624</v>
      </c>
      <c r="J24" s="335">
        <v>273</v>
      </c>
      <c r="K24" s="335">
        <v>340.4</v>
      </c>
      <c r="L24" s="335">
        <v>1336.1</v>
      </c>
      <c r="M24" s="335">
        <v>1842.2</v>
      </c>
      <c r="N24" s="335">
        <v>1998.8</v>
      </c>
      <c r="O24" s="335">
        <v>4062</v>
      </c>
      <c r="P24" s="335">
        <v>8151.6</v>
      </c>
    </row>
    <row r="25" spans="1:21" x14ac:dyDescent="0.3">
      <c r="A25" s="339" t="s">
        <v>439</v>
      </c>
      <c r="B25" s="340">
        <v>180.68100000000001</v>
      </c>
      <c r="C25" s="340">
        <v>832</v>
      </c>
      <c r="D25" s="340">
        <v>1999</v>
      </c>
      <c r="E25" s="340">
        <v>3510</v>
      </c>
      <c r="F25" s="340">
        <v>4747</v>
      </c>
      <c r="G25" s="340">
        <v>6036.5620992599997</v>
      </c>
      <c r="H25" s="340">
        <v>8308.9244992000004</v>
      </c>
      <c r="I25" s="340">
        <v>9910.91659936</v>
      </c>
      <c r="J25" s="340">
        <v>9322.3091996999992</v>
      </c>
      <c r="K25" s="340">
        <v>10323.514773000001</v>
      </c>
      <c r="L25" s="340">
        <v>9827.7839027999999</v>
      </c>
      <c r="M25" s="340">
        <v>10245.1912144</v>
      </c>
      <c r="N25" s="340">
        <v>10845.8644086</v>
      </c>
      <c r="O25" s="335">
        <v>9474.3463840000004</v>
      </c>
      <c r="P25" s="335">
        <v>9411.5825703999999</v>
      </c>
    </row>
    <row r="26" spans="1:21" x14ac:dyDescent="0.3">
      <c r="A26" s="341" t="s">
        <v>440</v>
      </c>
      <c r="B26" s="342"/>
      <c r="C26" s="342"/>
      <c r="D26" s="343"/>
      <c r="E26" s="343"/>
      <c r="F26" s="343"/>
      <c r="G26" s="343"/>
      <c r="H26" s="343"/>
      <c r="I26" s="214"/>
      <c r="J26" s="214"/>
      <c r="K26" s="214"/>
      <c r="L26" s="214"/>
    </row>
    <row r="27" spans="1:21" ht="9.9" customHeight="1" x14ac:dyDescent="0.3">
      <c r="A27" s="341" t="s">
        <v>453</v>
      </c>
      <c r="B27" s="342"/>
      <c r="C27" s="342"/>
      <c r="D27" s="343"/>
      <c r="E27" s="343"/>
      <c r="F27" s="343"/>
      <c r="G27" s="343"/>
      <c r="H27" s="343"/>
      <c r="I27" s="214"/>
      <c r="J27" s="214"/>
      <c r="K27" s="214"/>
      <c r="L27" s="214"/>
    </row>
    <row r="28" spans="1:21" ht="9.9" customHeight="1" x14ac:dyDescent="0.3">
      <c r="A28" s="341" t="s">
        <v>454</v>
      </c>
      <c r="B28" s="342"/>
      <c r="C28" s="342"/>
      <c r="D28" s="343"/>
      <c r="E28" s="343"/>
      <c r="F28" s="343"/>
      <c r="G28" s="343"/>
      <c r="H28" s="343"/>
      <c r="I28" s="214"/>
      <c r="J28" s="214"/>
      <c r="K28" s="214"/>
      <c r="L28" s="214"/>
    </row>
    <row r="29" spans="1:21" ht="9.9" customHeight="1" x14ac:dyDescent="0.3">
      <c r="A29" s="341" t="s">
        <v>455</v>
      </c>
      <c r="B29" s="342"/>
      <c r="C29" s="342"/>
      <c r="D29" s="343"/>
      <c r="E29" s="343"/>
      <c r="F29" s="343"/>
      <c r="G29" s="343"/>
      <c r="H29" s="343"/>
      <c r="I29" s="214"/>
      <c r="J29" s="214"/>
      <c r="K29" s="214"/>
      <c r="L29" s="214"/>
    </row>
    <row r="30" spans="1:21" ht="9.9" customHeight="1" x14ac:dyDescent="0.3">
      <c r="A30" s="341" t="s">
        <v>456</v>
      </c>
      <c r="B30" s="342"/>
      <c r="C30" s="342"/>
      <c r="D30" s="343"/>
      <c r="E30" s="343"/>
      <c r="F30" s="343"/>
      <c r="G30" s="343"/>
      <c r="H30" s="343"/>
      <c r="I30" s="214"/>
      <c r="J30" s="214"/>
      <c r="K30" s="214"/>
      <c r="L30" s="214"/>
    </row>
    <row r="31" spans="1:21" ht="9.9" customHeight="1" x14ac:dyDescent="0.3">
      <c r="A31" s="341" t="s">
        <v>457</v>
      </c>
      <c r="B31" s="342"/>
      <c r="C31" s="342"/>
      <c r="D31" s="343"/>
      <c r="E31" s="343"/>
      <c r="F31" s="343"/>
      <c r="G31" s="343"/>
      <c r="H31" s="343"/>
      <c r="I31" s="214"/>
      <c r="J31" s="214"/>
      <c r="K31" s="214"/>
      <c r="L31" s="214"/>
    </row>
    <row r="32" spans="1:21" ht="9.9" customHeight="1" x14ac:dyDescent="0.3">
      <c r="A32" s="341" t="s">
        <v>458</v>
      </c>
      <c r="B32" s="342"/>
      <c r="C32" s="342"/>
      <c r="D32" s="343"/>
      <c r="E32" s="343"/>
      <c r="F32" s="343"/>
      <c r="G32" s="343"/>
      <c r="H32" s="343"/>
      <c r="I32" s="214"/>
      <c r="J32" s="214"/>
      <c r="K32" s="214"/>
      <c r="L32" s="214"/>
    </row>
    <row r="33" spans="1:12" ht="9.9" customHeight="1" x14ac:dyDescent="0.3">
      <c r="A33" s="341" t="s">
        <v>459</v>
      </c>
      <c r="B33" s="342"/>
      <c r="C33" s="342"/>
      <c r="D33" s="343"/>
      <c r="E33" s="343"/>
      <c r="F33" s="343"/>
      <c r="G33" s="343"/>
      <c r="H33" s="343"/>
      <c r="I33" s="214"/>
      <c r="J33" s="214"/>
      <c r="K33" s="214"/>
      <c r="L33" s="214"/>
    </row>
    <row r="34" spans="1:12" ht="9.9" customHeight="1" x14ac:dyDescent="0.3">
      <c r="A34" s="341" t="s">
        <v>460</v>
      </c>
      <c r="B34" s="342"/>
      <c r="C34" s="342"/>
      <c r="D34" s="343"/>
      <c r="E34" s="343"/>
      <c r="F34" s="343"/>
      <c r="G34" s="343"/>
      <c r="H34" s="343"/>
      <c r="I34" s="214"/>
      <c r="J34" s="214"/>
      <c r="K34" s="214"/>
      <c r="L34" s="214"/>
    </row>
    <row r="35" spans="1:12" ht="9.9" customHeight="1" x14ac:dyDescent="0.3">
      <c r="A35" s="341" t="s">
        <v>461</v>
      </c>
      <c r="B35" s="342"/>
      <c r="C35" s="342"/>
      <c r="D35" s="343"/>
      <c r="E35" s="343"/>
      <c r="F35" s="343"/>
      <c r="G35" s="343"/>
      <c r="H35" s="343"/>
      <c r="I35" s="214"/>
      <c r="J35" s="214"/>
      <c r="K35" s="214"/>
      <c r="L35" s="214"/>
    </row>
    <row r="36" spans="1:12" ht="9.9" customHeight="1" x14ac:dyDescent="0.3">
      <c r="A36" s="344" t="s">
        <v>289</v>
      </c>
      <c r="B36" s="345"/>
      <c r="C36" s="345"/>
      <c r="D36" s="343"/>
      <c r="E36" s="343"/>
      <c r="F36" s="343"/>
      <c r="G36" s="343"/>
      <c r="H36" s="343"/>
      <c r="I36" s="214"/>
      <c r="J36" s="214"/>
      <c r="K36" s="214"/>
      <c r="L36" s="214"/>
    </row>
  </sheetData>
  <phoneticPr fontId="0" type="noConversion"/>
  <hyperlinks>
    <hyperlink ref="P23" r:id="rId1" xr:uid="{33AE2DAE-C332-41F4-A0AE-A3BF3AFAA38B}"/>
  </hyperlinks>
  <pageMargins left="0.75" right="0.75" top="1" bottom="1" header="0" footer="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F102-9EDD-4F18-BBBD-D73B44EB3740}">
  <dimension ref="A1:AB59"/>
  <sheetViews>
    <sheetView workbookViewId="0">
      <pane xSplit="1" ySplit="4" topLeftCell="O40" activePane="bottomRight" state="frozen"/>
      <selection pane="topRight" activeCell="B1" sqref="B1"/>
      <selection pane="bottomLeft" activeCell="A5" sqref="A5"/>
      <selection pane="bottomRight" activeCell="O52" sqref="O52"/>
    </sheetView>
  </sheetViews>
  <sheetFormatPr defaultColWidth="11" defaultRowHeight="13" x14ac:dyDescent="0.3"/>
  <cols>
    <col min="1" max="1" width="41.6640625" customWidth="1"/>
    <col min="2" max="4" width="11" customWidth="1"/>
    <col min="5" max="5" width="12" style="299" customWidth="1"/>
    <col min="6" max="16" width="11" customWidth="1"/>
    <col min="17" max="17" width="23.44140625" style="373" customWidth="1"/>
  </cols>
  <sheetData>
    <row r="1" spans="1:28" x14ac:dyDescent="0.3">
      <c r="A1" s="246" t="s">
        <v>775</v>
      </c>
      <c r="B1" s="247"/>
      <c r="C1" s="247"/>
      <c r="D1" s="247"/>
      <c r="E1" s="316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558"/>
      <c r="R1" s="534"/>
      <c r="S1" s="534"/>
      <c r="T1" s="534"/>
      <c r="U1" s="534"/>
      <c r="V1" s="534"/>
      <c r="W1" s="534"/>
      <c r="X1" s="534"/>
      <c r="Y1" s="535"/>
      <c r="Z1" s="535"/>
      <c r="AA1" s="535"/>
    </row>
    <row r="2" spans="1:28" x14ac:dyDescent="0.3">
      <c r="A2" s="552"/>
      <c r="B2" s="553"/>
      <c r="C2" s="553"/>
      <c r="D2" s="553"/>
      <c r="E2" s="554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537"/>
      <c r="R2" s="536"/>
      <c r="S2" s="536"/>
      <c r="T2" s="536"/>
      <c r="U2" s="536"/>
      <c r="V2" s="536"/>
      <c r="W2" s="536"/>
      <c r="X2" s="536"/>
      <c r="Y2" s="536"/>
      <c r="Z2" s="536"/>
      <c r="AA2" s="536"/>
    </row>
    <row r="3" spans="1:28" x14ac:dyDescent="0.3">
      <c r="A3" s="555" t="s">
        <v>22</v>
      </c>
      <c r="B3" s="556"/>
      <c r="C3" s="556"/>
      <c r="D3" s="841" t="s">
        <v>23</v>
      </c>
      <c r="E3" s="841"/>
      <c r="F3" s="841"/>
      <c r="G3" s="841"/>
      <c r="H3" s="841"/>
      <c r="I3" s="841"/>
      <c r="J3" s="841"/>
      <c r="K3" s="841"/>
      <c r="L3" s="557"/>
      <c r="M3" s="557"/>
      <c r="N3" s="557"/>
      <c r="O3" s="557"/>
      <c r="P3" s="557"/>
      <c r="Q3" s="537"/>
      <c r="R3" s="538" t="s">
        <v>583</v>
      </c>
      <c r="S3" s="538"/>
      <c r="T3" s="538"/>
      <c r="U3" s="538"/>
      <c r="V3" s="538"/>
      <c r="W3" s="538"/>
      <c r="X3" s="538"/>
      <c r="Y3" s="538"/>
      <c r="Z3" s="538"/>
      <c r="AA3" s="538"/>
    </row>
    <row r="4" spans="1:28" x14ac:dyDescent="0.3">
      <c r="A4" s="273"/>
      <c r="B4" s="16">
        <v>1991</v>
      </c>
      <c r="C4" s="16">
        <v>1992</v>
      </c>
      <c r="D4" s="16">
        <v>1993</v>
      </c>
      <c r="E4" s="549">
        <v>1994</v>
      </c>
      <c r="F4" s="16">
        <v>1995</v>
      </c>
      <c r="G4" s="550">
        <v>1996</v>
      </c>
      <c r="H4" s="550">
        <v>1997</v>
      </c>
      <c r="I4" s="551" t="s">
        <v>592</v>
      </c>
      <c r="J4" s="551" t="s">
        <v>593</v>
      </c>
      <c r="K4" s="551" t="s">
        <v>255</v>
      </c>
      <c r="L4" s="551" t="s">
        <v>594</v>
      </c>
      <c r="M4" s="551" t="s">
        <v>596</v>
      </c>
      <c r="N4" s="551" t="s">
        <v>595</v>
      </c>
      <c r="O4" s="551" t="s">
        <v>774</v>
      </c>
      <c r="P4" s="551"/>
      <c r="Q4" s="273"/>
      <c r="R4" s="540" t="s">
        <v>584</v>
      </c>
      <c r="S4" s="539">
        <v>1995</v>
      </c>
      <c r="T4" s="539">
        <v>1996</v>
      </c>
      <c r="U4" s="539">
        <v>1997</v>
      </c>
      <c r="V4" s="541" t="s">
        <v>587</v>
      </c>
      <c r="W4" s="541" t="s">
        <v>588</v>
      </c>
      <c r="X4" s="541" t="s">
        <v>585</v>
      </c>
      <c r="Y4" s="541" t="s">
        <v>589</v>
      </c>
      <c r="Z4" s="541" t="s">
        <v>586</v>
      </c>
      <c r="AA4" s="541" t="s">
        <v>590</v>
      </c>
      <c r="AB4" s="727">
        <v>2004</v>
      </c>
    </row>
    <row r="5" spans="1:28" x14ac:dyDescent="0.3">
      <c r="A5" s="10"/>
      <c r="B5" s="16"/>
      <c r="C5" s="16"/>
      <c r="D5" s="16"/>
      <c r="E5" s="549"/>
      <c r="F5" s="16"/>
      <c r="G5" s="550"/>
      <c r="H5" s="550"/>
      <c r="I5" s="551"/>
      <c r="J5" s="551"/>
      <c r="K5" s="551"/>
      <c r="L5" s="551"/>
      <c r="M5" s="551"/>
      <c r="N5" s="551"/>
      <c r="O5" s="551"/>
      <c r="P5" s="551"/>
      <c r="Q5" s="10"/>
      <c r="R5" s="543"/>
      <c r="S5" s="543"/>
      <c r="T5" s="543"/>
      <c r="U5" s="543"/>
      <c r="V5" s="543"/>
      <c r="W5" s="543"/>
      <c r="X5" s="542"/>
      <c r="Y5" s="542" t="s">
        <v>591</v>
      </c>
      <c r="Z5" s="542" t="s">
        <v>591</v>
      </c>
      <c r="AA5" s="542" t="s">
        <v>591</v>
      </c>
    </row>
    <row r="6" spans="1:28" x14ac:dyDescent="0.3">
      <c r="A6" s="10" t="s">
        <v>290</v>
      </c>
      <c r="B6" s="250">
        <v>480.00712192650587</v>
      </c>
      <c r="C6" s="250">
        <v>546.24216578125515</v>
      </c>
      <c r="D6" s="251">
        <v>1038.1087261188222</v>
      </c>
      <c r="E6" s="309">
        <v>977.47635797503142</v>
      </c>
      <c r="F6" s="251">
        <v>390.56822776957472</v>
      </c>
      <c r="G6" s="252">
        <v>2207.7255341793593</v>
      </c>
      <c r="H6" s="252">
        <v>3335.3110118251298</v>
      </c>
      <c r="I6" s="251">
        <v>2003.6255456712311</v>
      </c>
      <c r="J6" s="251">
        <v>-1499.3036958820353</v>
      </c>
      <c r="K6" s="251">
        <v>-1638.3914230345151</v>
      </c>
      <c r="L6" s="251">
        <v>-361.81681052446584</v>
      </c>
      <c r="M6" s="251">
        <v>-244.97118496281973</v>
      </c>
      <c r="N6" s="251">
        <v>905.15314591837546</v>
      </c>
      <c r="O6" s="251">
        <v>2444.4086180573095</v>
      </c>
      <c r="P6" s="251"/>
      <c r="Q6" s="10" t="s">
        <v>290</v>
      </c>
      <c r="R6" s="545">
        <v>0.99158216962394718</v>
      </c>
      <c r="S6" s="545">
        <v>0.32316240832702109</v>
      </c>
      <c r="T6" s="545">
        <v>1.6123162610459472</v>
      </c>
      <c r="U6" s="545">
        <v>2.1206945795295007</v>
      </c>
      <c r="V6" s="545">
        <v>1.2073749067566846</v>
      </c>
      <c r="W6" s="545">
        <v>-0.86187961937036084</v>
      </c>
      <c r="X6" s="545">
        <v>-0.88427202201811894</v>
      </c>
      <c r="Y6" s="545">
        <v>-0.19227979585599522</v>
      </c>
      <c r="Z6" s="545">
        <v>-0.12345040305795692</v>
      </c>
      <c r="AA6" s="545">
        <v>0.42672214882177883</v>
      </c>
      <c r="AB6" s="545">
        <v>1.0471608939893886</v>
      </c>
    </row>
    <row r="7" spans="1:28" x14ac:dyDescent="0.3">
      <c r="A7" s="10" t="s">
        <v>291</v>
      </c>
      <c r="B7" s="248"/>
      <c r="C7" s="248"/>
      <c r="D7" s="253"/>
      <c r="E7" s="310"/>
      <c r="F7" s="253"/>
      <c r="G7" s="253"/>
      <c r="H7" s="253"/>
      <c r="I7" s="253"/>
      <c r="J7" s="253"/>
      <c r="K7" s="253"/>
      <c r="L7" s="253"/>
      <c r="M7" s="251"/>
      <c r="N7" s="251"/>
      <c r="O7" s="251"/>
      <c r="P7" s="253"/>
      <c r="Q7" s="10" t="s">
        <v>291</v>
      </c>
      <c r="R7" s="544"/>
      <c r="S7" s="544"/>
      <c r="T7" s="544"/>
      <c r="U7" s="544"/>
      <c r="V7" s="544"/>
      <c r="W7" s="544"/>
      <c r="X7" s="544"/>
      <c r="Y7" s="544"/>
      <c r="Z7" s="544"/>
      <c r="AA7" s="545"/>
      <c r="AB7" s="545"/>
    </row>
    <row r="8" spans="1:28" x14ac:dyDescent="0.3">
      <c r="A8" s="10" t="s">
        <v>292</v>
      </c>
      <c r="B8" s="250">
        <f>B9-B12+B15</f>
        <v>374.964677922183</v>
      </c>
      <c r="C8" s="250">
        <f>C9-C12+C15</f>
        <v>247.55801272294178</v>
      </c>
      <c r="D8" s="251">
        <f>D9-D12+D15</f>
        <v>373.31249931165462</v>
      </c>
      <c r="E8" s="309">
        <v>445.38300155283514</v>
      </c>
      <c r="F8" s="251">
        <v>-52.566149421353543</v>
      </c>
      <c r="G8" s="251">
        <v>1462.4097978748855</v>
      </c>
      <c r="H8" s="251">
        <v>1532.1357124955061</v>
      </c>
      <c r="I8" s="251">
        <v>1240.957771210873</v>
      </c>
      <c r="J8" s="251">
        <v>-1814.7238294160097</v>
      </c>
      <c r="K8" s="251">
        <v>-1120.3461180664326</v>
      </c>
      <c r="L8" s="251">
        <v>-1229.795725901251</v>
      </c>
      <c r="M8" s="251">
        <v>-310.40355044319841</v>
      </c>
      <c r="N8" s="251">
        <v>452.70911137629093</v>
      </c>
      <c r="O8" s="251">
        <v>-1170.5398166697378</v>
      </c>
      <c r="P8" s="251"/>
      <c r="Q8" s="10" t="s">
        <v>292</v>
      </c>
      <c r="R8" s="545">
        <v>0.45181025545035963</v>
      </c>
      <c r="S8" s="545">
        <v>-4.3494074109645176E-2</v>
      </c>
      <c r="T8" s="545">
        <v>1.0680073500635778</v>
      </c>
      <c r="U8" s="545">
        <v>0.9741795859735386</v>
      </c>
      <c r="V8" s="545">
        <v>0.74779505409169045</v>
      </c>
      <c r="W8" s="545">
        <v>-1.0431999118359105</v>
      </c>
      <c r="X8" s="545">
        <v>-0.60467279873076096</v>
      </c>
      <c r="Y8" s="545">
        <v>-0.65354860316773034</v>
      </c>
      <c r="Z8" s="545">
        <v>-0.15642428891646828</v>
      </c>
      <c r="AA8" s="545">
        <v>0.21342355784631992</v>
      </c>
      <c r="AB8" s="545">
        <v>0.60945293799165401</v>
      </c>
    </row>
    <row r="9" spans="1:28" x14ac:dyDescent="0.3">
      <c r="A9" s="10" t="s">
        <v>293</v>
      </c>
      <c r="B9" s="250">
        <f>B10+B11</f>
        <v>3193.2447849999999</v>
      </c>
      <c r="C9" s="250">
        <f>C10+C11</f>
        <v>6058.8420000000006</v>
      </c>
      <c r="D9" s="251">
        <f>D10+D11</f>
        <v>9424.0717246000004</v>
      </c>
      <c r="E9" s="309">
        <v>14484.19368965825</v>
      </c>
      <c r="F9" s="251">
        <v>18455.822076245113</v>
      </c>
      <c r="G9" s="251">
        <v>21682.239924373203</v>
      </c>
      <c r="H9" s="251">
        <v>25132.339266321771</v>
      </c>
      <c r="I9" s="251">
        <v>26193.613005265499</v>
      </c>
      <c r="J9" s="251">
        <v>25481.972232814907</v>
      </c>
      <c r="K9" s="251">
        <v>27704.860833920258</v>
      </c>
      <c r="L9" s="251">
        <v>27059.028083815781</v>
      </c>
      <c r="M9" s="251">
        <v>28559.256810910862</v>
      </c>
      <c r="N9" s="251">
        <v>31551.12892523644</v>
      </c>
      <c r="O9" s="251">
        <v>35401.351547468097</v>
      </c>
      <c r="P9" s="251"/>
      <c r="Q9" s="10" t="s">
        <v>293</v>
      </c>
      <c r="R9" s="547">
        <v>14.693212870946677</v>
      </c>
      <c r="S9" s="547">
        <v>15.270642837166763</v>
      </c>
      <c r="T9" s="547">
        <v>15.834680291887434</v>
      </c>
      <c r="U9" s="547">
        <v>15.979923750444959</v>
      </c>
      <c r="V9" s="547">
        <v>15.784142465232099</v>
      </c>
      <c r="W9" s="547">
        <v>14.648394844317524</v>
      </c>
      <c r="X9" s="547">
        <v>14.952857397145417</v>
      </c>
      <c r="Y9" s="547">
        <v>14.379941021745099</v>
      </c>
      <c r="Z9" s="547">
        <v>14.392108054985117</v>
      </c>
      <c r="AA9" s="547">
        <v>14.971062696609946</v>
      </c>
      <c r="AB9" s="547">
        <v>15.165594925917652</v>
      </c>
    </row>
    <row r="10" spans="1:28" x14ac:dyDescent="0.3">
      <c r="A10" s="10" t="s">
        <v>294</v>
      </c>
      <c r="B10" s="250">
        <v>2957.5140719999999</v>
      </c>
      <c r="C10" s="250">
        <v>5415.938000000001</v>
      </c>
      <c r="D10" s="251">
        <v>8478.3718246000008</v>
      </c>
      <c r="E10" s="309">
        <v>12978.744199658249</v>
      </c>
      <c r="F10" s="251">
        <v>16457.679556635114</v>
      </c>
      <c r="G10" s="252">
        <v>19255.842723714286</v>
      </c>
      <c r="H10" s="252">
        <v>22304.33286932177</v>
      </c>
      <c r="I10" s="251">
        <v>23143.813679985498</v>
      </c>
      <c r="J10" s="251">
        <v>22071.825715136907</v>
      </c>
      <c r="K10" s="251">
        <v>22769.423566369929</v>
      </c>
      <c r="L10" s="251">
        <v>23540.712714005771</v>
      </c>
      <c r="M10" s="251">
        <v>24061.617835462865</v>
      </c>
      <c r="N10" s="251">
        <v>27404.700331130149</v>
      </c>
      <c r="O10" s="251">
        <v>31141.777071422563</v>
      </c>
      <c r="P10" s="251"/>
      <c r="Q10" s="10" t="s">
        <v>294</v>
      </c>
      <c r="R10" s="547">
        <v>13.166038469873749</v>
      </c>
      <c r="S10" s="547">
        <v>13.617347707387927</v>
      </c>
      <c r="T10" s="547">
        <v>14.062666696079239</v>
      </c>
      <c r="U10" s="547">
        <v>14.181789238931797</v>
      </c>
      <c r="V10" s="547">
        <v>13.946348380433207</v>
      </c>
      <c r="W10" s="547">
        <v>12.688060996861493</v>
      </c>
      <c r="X10" s="547">
        <v>12.28910499295063</v>
      </c>
      <c r="Y10" s="547">
        <v>12.510207661143451</v>
      </c>
      <c r="Z10" s="547">
        <v>12.125574771029694</v>
      </c>
      <c r="AA10" s="547">
        <v>13.003575486051602</v>
      </c>
      <c r="AB10" s="547">
        <v>13.340834620541555</v>
      </c>
    </row>
    <row r="11" spans="1:28" x14ac:dyDescent="0.3">
      <c r="A11" s="10" t="s">
        <v>295</v>
      </c>
      <c r="B11" s="250">
        <v>235.73071300000001</v>
      </c>
      <c r="C11" s="250">
        <v>642.904</v>
      </c>
      <c r="D11" s="251">
        <v>945.69989999999996</v>
      </c>
      <c r="E11" s="309">
        <v>1505.4494900000002</v>
      </c>
      <c r="F11" s="251">
        <v>1998.1425196100004</v>
      </c>
      <c r="G11" s="252">
        <v>2426.3972006589179</v>
      </c>
      <c r="H11" s="252">
        <v>2828.0063970000001</v>
      </c>
      <c r="I11" s="251">
        <v>3049.7993252800006</v>
      </c>
      <c r="J11" s="251">
        <v>3410.1465176780002</v>
      </c>
      <c r="K11" s="251">
        <v>4935.4372675503291</v>
      </c>
      <c r="L11" s="251">
        <v>3518.31536981001</v>
      </c>
      <c r="M11" s="251">
        <v>4497.638975447996</v>
      </c>
      <c r="N11" s="251">
        <v>4146.4285941062926</v>
      </c>
      <c r="O11" s="251">
        <v>4259.5744760455364</v>
      </c>
      <c r="P11" s="251"/>
      <c r="Q11" s="10" t="s">
        <v>295</v>
      </c>
      <c r="R11" s="547">
        <v>1.5271744010729276</v>
      </c>
      <c r="S11" s="547">
        <v>1.6532951297788376</v>
      </c>
      <c r="T11" s="547">
        <v>1.7720135958081971</v>
      </c>
      <c r="U11" s="547">
        <v>1.7981345115131628</v>
      </c>
      <c r="V11" s="547">
        <v>1.8377940847988921</v>
      </c>
      <c r="W11" s="547">
        <v>1.9603338474560303</v>
      </c>
      <c r="X11" s="547">
        <v>2.6637524041947875</v>
      </c>
      <c r="Y11" s="547">
        <v>1.8697333606016475</v>
      </c>
      <c r="Z11" s="547">
        <v>2.2665332839554244</v>
      </c>
      <c r="AA11" s="547">
        <v>1.9547774071070423</v>
      </c>
      <c r="AB11" s="547">
        <v>1.8247603053760992</v>
      </c>
    </row>
    <row r="12" spans="1:28" x14ac:dyDescent="0.3">
      <c r="A12" s="10" t="s">
        <v>296</v>
      </c>
      <c r="B12" s="250">
        <f>B13+B14</f>
        <v>2841.7511070778169</v>
      </c>
      <c r="C12" s="250">
        <f>C13+C14</f>
        <v>5838.8489872770588</v>
      </c>
      <c r="D12" s="251">
        <f>D13+D14</f>
        <v>8992.4812252883457</v>
      </c>
      <c r="E12" s="309">
        <v>14362.381688105415</v>
      </c>
      <c r="F12" s="251">
        <v>18782.017225666466</v>
      </c>
      <c r="G12" s="251">
        <v>20797.583407448317</v>
      </c>
      <c r="H12" s="251">
        <v>23792.656933346265</v>
      </c>
      <c r="I12" s="251">
        <v>25484.866790934626</v>
      </c>
      <c r="J12" s="251">
        <v>27835.481312230917</v>
      </c>
      <c r="K12" s="251">
        <v>29360.199152196205</v>
      </c>
      <c r="L12" s="251">
        <v>28580.017619167033</v>
      </c>
      <c r="M12" s="251">
        <v>29240.743451722337</v>
      </c>
      <c r="N12" s="251">
        <v>31459.54995875125</v>
      </c>
      <c r="O12" s="251">
        <v>34166.495071996709</v>
      </c>
      <c r="P12" s="251"/>
      <c r="Q12" s="10" t="s">
        <v>296</v>
      </c>
      <c r="R12" s="547">
        <v>14.569643019051515</v>
      </c>
      <c r="S12" s="547">
        <v>15.540541929250075</v>
      </c>
      <c r="T12" s="547">
        <v>15.188609906055506</v>
      </c>
      <c r="U12" s="547">
        <v>15.128112014819765</v>
      </c>
      <c r="V12" s="547">
        <v>15.357055479696976</v>
      </c>
      <c r="W12" s="547">
        <v>16.001317214297035</v>
      </c>
      <c r="X12" s="547">
        <v>15.846275991289941</v>
      </c>
      <c r="Y12" s="547">
        <v>15.188238339198424</v>
      </c>
      <c r="Z12" s="547">
        <v>14.735535387059127</v>
      </c>
      <c r="AA12" s="547">
        <v>14.927608371634157</v>
      </c>
      <c r="AB12" s="547">
        <v>14.63659441378933</v>
      </c>
    </row>
    <row r="13" spans="1:28" x14ac:dyDescent="0.3">
      <c r="A13" s="10" t="s">
        <v>297</v>
      </c>
      <c r="B13" s="250">
        <v>2319.0687467279167</v>
      </c>
      <c r="C13" s="250">
        <v>4401.3467469328716</v>
      </c>
      <c r="D13" s="251">
        <v>6448.0522456893286</v>
      </c>
      <c r="E13" s="309">
        <v>10020.896324216606</v>
      </c>
      <c r="F13" s="251">
        <v>13751.418467671641</v>
      </c>
      <c r="G13" s="252">
        <v>15749.154880844388</v>
      </c>
      <c r="H13" s="252">
        <v>17997.830053899288</v>
      </c>
      <c r="I13" s="251">
        <v>19862.33959389037</v>
      </c>
      <c r="J13" s="251">
        <v>21929.702434760613</v>
      </c>
      <c r="K13" s="251">
        <v>24101.218742337005</v>
      </c>
      <c r="L13" s="251">
        <v>24348.876359096139</v>
      </c>
      <c r="M13" s="251">
        <v>25284.617141332339</v>
      </c>
      <c r="N13" s="251">
        <v>27375.273425795349</v>
      </c>
      <c r="O13" s="251">
        <v>29869.684606311373</v>
      </c>
      <c r="P13" s="251"/>
      <c r="Q13" s="10" t="s">
        <v>297</v>
      </c>
      <c r="R13" s="547">
        <v>10.165506344652849</v>
      </c>
      <c r="S13" s="547">
        <v>11.378143929688139</v>
      </c>
      <c r="T13" s="547">
        <v>11.501709845266305</v>
      </c>
      <c r="U13" s="547">
        <v>11.443580674568437</v>
      </c>
      <c r="V13" s="547">
        <v>11.968948223361297</v>
      </c>
      <c r="W13" s="547">
        <v>12.606360965619775</v>
      </c>
      <c r="X13" s="547">
        <v>13.007901000186301</v>
      </c>
      <c r="Y13" s="547">
        <v>12.939688923970804</v>
      </c>
      <c r="Z13" s="547">
        <v>12.741891164617382</v>
      </c>
      <c r="AA13" s="547">
        <v>12.98961241665828</v>
      </c>
      <c r="AB13" s="547">
        <v>12.795882572359989</v>
      </c>
    </row>
    <row r="14" spans="1:28" x14ac:dyDescent="0.3">
      <c r="A14" s="10" t="s">
        <v>298</v>
      </c>
      <c r="B14" s="250">
        <v>522.68236034990014</v>
      </c>
      <c r="C14" s="250">
        <v>1437.5022403441876</v>
      </c>
      <c r="D14" s="251">
        <v>2544.4289795990171</v>
      </c>
      <c r="E14" s="309">
        <v>4341.485363888808</v>
      </c>
      <c r="F14" s="251">
        <v>5030.598757994826</v>
      </c>
      <c r="G14" s="252">
        <v>5048.4285266039287</v>
      </c>
      <c r="H14" s="252">
        <v>5794.8268794469768</v>
      </c>
      <c r="I14" s="251">
        <v>5622.5271970442554</v>
      </c>
      <c r="J14" s="251">
        <v>5905.7788774703049</v>
      </c>
      <c r="K14" s="251">
        <v>5258.9804098591985</v>
      </c>
      <c r="L14" s="251">
        <v>4231.1412600708954</v>
      </c>
      <c r="M14" s="251">
        <v>3956.1263103900001</v>
      </c>
      <c r="N14" s="251">
        <v>4084.2765329559002</v>
      </c>
      <c r="O14" s="251">
        <v>4296.8104656853375</v>
      </c>
      <c r="P14" s="251"/>
      <c r="Q14" s="10" t="s">
        <v>298</v>
      </c>
      <c r="R14" s="547">
        <v>4.4041366743986679</v>
      </c>
      <c r="S14" s="547">
        <v>4.1623979995619376</v>
      </c>
      <c r="T14" s="547">
        <v>3.6869000607891986</v>
      </c>
      <c r="U14" s="547">
        <v>3.6845313402513269</v>
      </c>
      <c r="V14" s="547">
        <v>3.3881072563356787</v>
      </c>
      <c r="W14" s="547">
        <v>3.394956248677258</v>
      </c>
      <c r="X14" s="547">
        <v>2.8383749911036387</v>
      </c>
      <c r="Y14" s="547">
        <v>2.24854941522762</v>
      </c>
      <c r="Z14" s="547">
        <v>1.9936442224417441</v>
      </c>
      <c r="AA14" s="547">
        <v>1.9254766625784585</v>
      </c>
      <c r="AB14" s="547">
        <v>1.8407118414293402</v>
      </c>
    </row>
    <row r="15" spans="1:28" x14ac:dyDescent="0.3">
      <c r="A15" s="10" t="s">
        <v>299</v>
      </c>
      <c r="B15" s="250">
        <v>23.471</v>
      </c>
      <c r="C15" s="250">
        <v>27.565000000000001</v>
      </c>
      <c r="D15" s="251">
        <v>-58.278000000000006</v>
      </c>
      <c r="E15" s="309">
        <v>323.57100000000037</v>
      </c>
      <c r="F15" s="251">
        <v>273.62900000000002</v>
      </c>
      <c r="G15" s="252">
        <v>577.75328094999929</v>
      </c>
      <c r="H15" s="252">
        <v>192.45337952000006</v>
      </c>
      <c r="I15" s="251">
        <v>532.21155687999988</v>
      </c>
      <c r="J15" s="251">
        <v>538.78524999999991</v>
      </c>
      <c r="K15" s="251">
        <v>534.99220020951373</v>
      </c>
      <c r="L15" s="251">
        <v>291.19380945000023</v>
      </c>
      <c r="M15" s="251">
        <v>371.0830903682774</v>
      </c>
      <c r="N15" s="251">
        <v>361.13014489110003</v>
      </c>
      <c r="O15" s="251">
        <v>187.80170674128749</v>
      </c>
      <c r="P15" s="251"/>
      <c r="Q15" s="10" t="s">
        <v>299</v>
      </c>
      <c r="R15" s="547">
        <v>0.32824040355519912</v>
      </c>
      <c r="S15" s="547">
        <v>0.2264050179736686</v>
      </c>
      <c r="T15" s="547">
        <v>0.42193696423164762</v>
      </c>
      <c r="U15" s="547">
        <v>0.12236785034834297</v>
      </c>
      <c r="V15" s="547">
        <v>0.3207080685565678</v>
      </c>
      <c r="W15" s="547">
        <v>0.30972245814359745</v>
      </c>
      <c r="X15" s="547">
        <v>0.28874579541376355</v>
      </c>
      <c r="Y15" s="547">
        <v>0.15474871428559442</v>
      </c>
      <c r="Z15" s="547">
        <v>0.18700304315754082</v>
      </c>
      <c r="AA15" s="547">
        <v>0.17024989873497839</v>
      </c>
      <c r="AB15" s="547">
        <v>8.0452425863329569E-2</v>
      </c>
    </row>
    <row r="16" spans="1:28" x14ac:dyDescent="0.3">
      <c r="A16" s="10" t="s">
        <v>300</v>
      </c>
      <c r="B16" s="250">
        <f>SUM(B17:B19)</f>
        <v>105.0424440043229</v>
      </c>
      <c r="C16" s="250">
        <f>SUM(C17:C19)</f>
        <v>298.68415305831331</v>
      </c>
      <c r="D16" s="251">
        <f>SUM(D17:D19)</f>
        <v>664.79622680716761</v>
      </c>
      <c r="E16" s="309">
        <v>532.09335642219628</v>
      </c>
      <c r="F16" s="251">
        <v>443.13437719092826</v>
      </c>
      <c r="G16" s="251">
        <v>745.31573630447394</v>
      </c>
      <c r="H16" s="251">
        <v>1803.1752993296234</v>
      </c>
      <c r="I16" s="251">
        <v>762.66777446035792</v>
      </c>
      <c r="J16" s="251">
        <v>315.42013353397431</v>
      </c>
      <c r="K16" s="251">
        <v>-518.04530496808252</v>
      </c>
      <c r="L16" s="251">
        <v>867.97891537678515</v>
      </c>
      <c r="M16" s="251">
        <v>65.432365480378678</v>
      </c>
      <c r="N16" s="251">
        <v>452.44403454208447</v>
      </c>
      <c r="O16" s="256">
        <v>1021.7504358446315</v>
      </c>
      <c r="P16" s="251"/>
      <c r="Q16" s="10" t="s">
        <v>300</v>
      </c>
      <c r="R16" s="545">
        <v>0.53977191417358761</v>
      </c>
      <c r="S16" s="545">
        <v>0.36665648243666626</v>
      </c>
      <c r="T16" s="545">
        <v>0.54430891098236922</v>
      </c>
      <c r="U16" s="545">
        <v>1.1465149935559618</v>
      </c>
      <c r="V16" s="545">
        <v>0.45957985266499413</v>
      </c>
      <c r="W16" s="545">
        <v>0.18132029246554965</v>
      </c>
      <c r="X16" s="545">
        <v>-0.27959922328735787</v>
      </c>
      <c r="Y16" s="545">
        <v>0.46126880731173514</v>
      </c>
      <c r="Z16" s="545">
        <v>3.2973885858511368E-2</v>
      </c>
      <c r="AA16" s="545">
        <v>0.21329859097545886</v>
      </c>
      <c r="AB16" s="545">
        <v>0.43770795599773449</v>
      </c>
    </row>
    <row r="17" spans="1:28" x14ac:dyDescent="0.3">
      <c r="A17" s="10" t="s">
        <v>301</v>
      </c>
      <c r="B17" s="250">
        <v>74.69944400432253</v>
      </c>
      <c r="C17" s="250">
        <v>57.428153058312894</v>
      </c>
      <c r="D17" s="251">
        <v>96.909226807167713</v>
      </c>
      <c r="E17" s="309">
        <v>106.70963642219611</v>
      </c>
      <c r="F17" s="251">
        <v>371.33422249092877</v>
      </c>
      <c r="G17" s="252">
        <v>408.57402920447413</v>
      </c>
      <c r="H17" s="252">
        <v>720.3454728762091</v>
      </c>
      <c r="I17" s="251">
        <v>796.99493374605504</v>
      </c>
      <c r="J17" s="251">
        <v>379.92134223175253</v>
      </c>
      <c r="K17" s="251">
        <v>287.15652991803995</v>
      </c>
      <c r="L17" s="251">
        <v>299.61700978342168</v>
      </c>
      <c r="M17" s="251">
        <v>126.62300800030178</v>
      </c>
      <c r="N17" s="251">
        <v>218.43816536267292</v>
      </c>
      <c r="O17" s="311">
        <f>+O16*N17/$N$16</f>
        <v>493.29701272401815</v>
      </c>
      <c r="P17" s="251"/>
      <c r="Q17" s="10" t="s">
        <v>301</v>
      </c>
      <c r="R17" s="547">
        <v>0.1082495468458242</v>
      </c>
      <c r="S17" s="547">
        <v>0.30724788424215627</v>
      </c>
      <c r="T17" s="547">
        <v>0.29838426060162482</v>
      </c>
      <c r="U17" s="547">
        <v>0.45801807816454543</v>
      </c>
      <c r="V17" s="547">
        <v>0.48026523014549821</v>
      </c>
      <c r="W17" s="547">
        <v>0.21839902264813921</v>
      </c>
      <c r="X17" s="547">
        <v>0.15498401772393944</v>
      </c>
      <c r="Y17" s="547">
        <v>0.1592250437248395</v>
      </c>
      <c r="Z17" s="547">
        <v>6.3810204356976263E-2</v>
      </c>
      <c r="AA17" s="547">
        <v>0.10297970429487134</v>
      </c>
      <c r="AB17" s="545"/>
    </row>
    <row r="18" spans="1:28" x14ac:dyDescent="0.3">
      <c r="A18" s="10" t="s">
        <v>302</v>
      </c>
      <c r="B18" s="250">
        <v>16.198</v>
      </c>
      <c r="C18" s="250">
        <v>-31.704000000000079</v>
      </c>
      <c r="D18" s="251">
        <v>60.9089999999998</v>
      </c>
      <c r="E18" s="309">
        <v>11.254720000000002</v>
      </c>
      <c r="F18" s="251">
        <v>74.172154700000277</v>
      </c>
      <c r="G18" s="252">
        <v>-12.06029289999983</v>
      </c>
      <c r="H18" s="252">
        <v>13.764519319995934</v>
      </c>
      <c r="I18" s="251">
        <v>123.75054246000497</v>
      </c>
      <c r="J18" s="251">
        <v>-115.06289947000016</v>
      </c>
      <c r="K18" s="251">
        <v>107.8209999999997</v>
      </c>
      <c r="L18" s="251">
        <v>166.45904726620017</v>
      </c>
      <c r="M18" s="251">
        <v>175.93748938096874</v>
      </c>
      <c r="N18" s="251">
        <v>334.35114267941208</v>
      </c>
      <c r="O18" s="311">
        <f>+O17*N18/$N$16</f>
        <v>364.54104218999146</v>
      </c>
      <c r="P18" s="251"/>
      <c r="Q18" s="10" t="s">
        <v>302</v>
      </c>
      <c r="R18" s="547">
        <v>1.1417135140976068E-2</v>
      </c>
      <c r="S18" s="547">
        <v>6.1371228992538399E-2</v>
      </c>
      <c r="T18" s="547">
        <v>-8.8077100412188112E-3</v>
      </c>
      <c r="U18" s="547">
        <v>8.7519099143234299E-3</v>
      </c>
      <c r="V18" s="547">
        <v>7.4571468699099142E-2</v>
      </c>
      <c r="W18" s="547">
        <v>-6.614428302366869E-2</v>
      </c>
      <c r="X18" s="547">
        <v>5.8193110843700255E-2</v>
      </c>
      <c r="Y18" s="547">
        <v>8.8461096045630405E-2</v>
      </c>
      <c r="Z18" s="547">
        <v>8.8661668434114271E-2</v>
      </c>
      <c r="AA18" s="547">
        <v>0.15762530209229583</v>
      </c>
      <c r="AB18" s="545"/>
    </row>
    <row r="19" spans="1:28" x14ac:dyDescent="0.3">
      <c r="A19" s="10" t="s">
        <v>303</v>
      </c>
      <c r="B19" s="250">
        <v>14.14500000000038</v>
      </c>
      <c r="C19" s="250">
        <v>272.96000000000049</v>
      </c>
      <c r="D19" s="251">
        <v>506.97800000000007</v>
      </c>
      <c r="E19" s="309">
        <v>414.12900000000013</v>
      </c>
      <c r="F19" s="251">
        <v>-2.3720000000007531</v>
      </c>
      <c r="G19" s="252">
        <v>348.80199999999962</v>
      </c>
      <c r="H19" s="252">
        <v>1069.0653071334184</v>
      </c>
      <c r="I19" s="251">
        <v>-158.07770174570203</v>
      </c>
      <c r="J19" s="251">
        <v>50.561690772221908</v>
      </c>
      <c r="K19" s="251">
        <v>-913.02283488612215</v>
      </c>
      <c r="L19" s="251">
        <v>401.9028583271633</v>
      </c>
      <c r="M19" s="251">
        <v>-237.12813190089184</v>
      </c>
      <c r="N19" s="251">
        <v>-100.34527350000047</v>
      </c>
      <c r="O19" s="311">
        <f>+O18*N19/$N$16</f>
        <v>-80.849713528773208</v>
      </c>
      <c r="P19" s="251"/>
      <c r="Q19" s="10" t="s">
        <v>303</v>
      </c>
      <c r="R19" s="547">
        <v>0.4201052321867873</v>
      </c>
      <c r="S19" s="547">
        <v>-1.9626307980283972E-3</v>
      </c>
      <c r="T19" s="547">
        <v>0.25473236042196318</v>
      </c>
      <c r="U19" s="547">
        <v>0.67974500547709293</v>
      </c>
      <c r="V19" s="547">
        <v>-9.5256846179603213E-2</v>
      </c>
      <c r="W19" s="547">
        <v>2.9065552841079114E-2</v>
      </c>
      <c r="X19" s="547">
        <v>-0.49277635185499752</v>
      </c>
      <c r="Y19" s="547">
        <v>0.2135826675412652</v>
      </c>
      <c r="Z19" s="547">
        <v>-0.11949798693257918</v>
      </c>
      <c r="AA19" s="547">
        <v>-4.7306415411708311E-2</v>
      </c>
      <c r="AB19" s="545"/>
    </row>
    <row r="20" spans="1:28" x14ac:dyDescent="0.3">
      <c r="A20" s="254" t="s">
        <v>304</v>
      </c>
      <c r="B20" s="255">
        <f>B21+B22</f>
        <v>1224.8090348442183</v>
      </c>
      <c r="C20" s="255">
        <f>C21+C22</f>
        <v>2301.7357157113038</v>
      </c>
      <c r="D20" s="256">
        <f>D21+D22</f>
        <v>3158.6653797135305</v>
      </c>
      <c r="E20" s="311">
        <v>3736.1790767051752</v>
      </c>
      <c r="F20" s="256">
        <v>4283.5716466839503</v>
      </c>
      <c r="G20" s="256">
        <v>3655.0471318635905</v>
      </c>
      <c r="H20" s="256">
        <v>3193.7130380029253</v>
      </c>
      <c r="I20" s="256">
        <v>3623.9321313825544</v>
      </c>
      <c r="J20" s="256">
        <v>4104.2657983124391</v>
      </c>
      <c r="K20" s="256">
        <v>4612.2591299139785</v>
      </c>
      <c r="L20" s="256">
        <v>4265.9095241130772</v>
      </c>
      <c r="M20" s="256">
        <v>4280.6651979432563</v>
      </c>
      <c r="N20" s="256">
        <v>4632.673746130642</v>
      </c>
      <c r="O20" s="256">
        <v>4932.0900147543034</v>
      </c>
      <c r="P20" s="256"/>
      <c r="Q20" s="254" t="s">
        <v>304</v>
      </c>
      <c r="R20" s="545">
        <v>3.7900953048703268</v>
      </c>
      <c r="S20" s="545">
        <v>3.5442958007337562</v>
      </c>
      <c r="T20" s="545">
        <v>2.6693046007567043</v>
      </c>
      <c r="U20" s="545">
        <v>2.0306621794047555</v>
      </c>
      <c r="V20" s="545">
        <v>2.1837636921098227</v>
      </c>
      <c r="W20" s="545">
        <v>2.3593505797124608</v>
      </c>
      <c r="X20" s="545">
        <v>2.4893268174748275</v>
      </c>
      <c r="Y20" s="545">
        <v>2.2670262646106201</v>
      </c>
      <c r="Z20" s="545">
        <v>2.1571918514517079</v>
      </c>
      <c r="AA20" s="545">
        <v>2.1840110755328208</v>
      </c>
      <c r="AB20" s="545">
        <v>2.1128594257660915</v>
      </c>
    </row>
    <row r="21" spans="1:28" x14ac:dyDescent="0.3">
      <c r="A21" s="254" t="s">
        <v>305</v>
      </c>
      <c r="B21" s="255">
        <v>956.29250000000002</v>
      </c>
      <c r="C21" s="255">
        <v>1918.8924999999999</v>
      </c>
      <c r="D21" s="256">
        <v>2844.42</v>
      </c>
      <c r="E21" s="311">
        <v>3495.2660000000001</v>
      </c>
      <c r="F21" s="256">
        <v>3944.5289999999995</v>
      </c>
      <c r="G21" s="256">
        <v>3231.88</v>
      </c>
      <c r="H21" s="257">
        <v>2700.0585000000001</v>
      </c>
      <c r="I21" s="257">
        <v>2972.3820000000001</v>
      </c>
      <c r="J21" s="257">
        <v>3548.9087</v>
      </c>
      <c r="K21" s="30">
        <v>3583.0885699999999</v>
      </c>
      <c r="L21" s="30">
        <v>3664.5271640000001</v>
      </c>
      <c r="M21" s="30">
        <v>3515.0299500000001</v>
      </c>
      <c r="N21" s="30">
        <v>3763.4137799999999</v>
      </c>
      <c r="O21" s="256">
        <v>3951.4532399999998</v>
      </c>
      <c r="P21" s="30"/>
      <c r="Q21" s="254" t="s">
        <v>305</v>
      </c>
      <c r="R21" s="547">
        <v>3.5457056484442839</v>
      </c>
      <c r="S21" s="547">
        <v>3.2637664836061124</v>
      </c>
      <c r="T21" s="547">
        <v>2.3602629027371842</v>
      </c>
      <c r="U21" s="547">
        <v>1.7167812551997081</v>
      </c>
      <c r="V21" s="547">
        <v>1.7911427850621546</v>
      </c>
      <c r="W21" s="547">
        <v>2.040101740519435</v>
      </c>
      <c r="X21" s="547">
        <v>1.9338632577772976</v>
      </c>
      <c r="Y21" s="547">
        <v>1.9474344875831124</v>
      </c>
      <c r="Z21" s="547">
        <v>1.7713587994202245</v>
      </c>
      <c r="AA21" s="547">
        <v>1.774210278502321</v>
      </c>
      <c r="AB21" s="547">
        <v>1.6927641625826793</v>
      </c>
    </row>
    <row r="22" spans="1:28" x14ac:dyDescent="0.3">
      <c r="A22" s="254" t="s">
        <v>306</v>
      </c>
      <c r="B22" s="255">
        <v>268.51653484421837</v>
      </c>
      <c r="C22" s="255">
        <v>382.84321571130369</v>
      </c>
      <c r="D22" s="256">
        <v>314.24537971353027</v>
      </c>
      <c r="E22" s="311">
        <v>240.91307670517534</v>
      </c>
      <c r="F22" s="256">
        <v>339.04264668395086</v>
      </c>
      <c r="G22" s="256">
        <v>423.16713186359021</v>
      </c>
      <c r="H22" s="256">
        <v>493.65453800292522</v>
      </c>
      <c r="I22" s="256">
        <v>651.55013138255424</v>
      </c>
      <c r="J22" s="256">
        <v>555.35709831243958</v>
      </c>
      <c r="K22" s="256">
        <v>1029.1705599139789</v>
      </c>
      <c r="L22" s="256">
        <v>601.38236011307674</v>
      </c>
      <c r="M22" s="256">
        <v>765.63524794325588</v>
      </c>
      <c r="N22" s="256">
        <v>869.25996613064262</v>
      </c>
      <c r="O22" s="256">
        <v>980.63677475430359</v>
      </c>
      <c r="P22" s="256"/>
      <c r="Q22" s="254" t="s">
        <v>306</v>
      </c>
      <c r="R22" s="547">
        <v>0.24438965642604343</v>
      </c>
      <c r="S22" s="547">
        <v>0.2805293171276439</v>
      </c>
      <c r="T22" s="547">
        <v>0.30904169801951997</v>
      </c>
      <c r="U22" s="547">
        <v>0.31388092420504732</v>
      </c>
      <c r="V22" s="547">
        <v>0.39262090704766778</v>
      </c>
      <c r="W22" s="547">
        <v>0.31924883919302599</v>
      </c>
      <c r="X22" s="547">
        <v>0.55546355969753014</v>
      </c>
      <c r="Y22" s="547">
        <v>0.31959177702750746</v>
      </c>
      <c r="Z22" s="547">
        <v>0.38583305203148316</v>
      </c>
      <c r="AA22" s="547">
        <v>0.40980079703049971</v>
      </c>
      <c r="AB22" s="547">
        <v>0.42009526318341256</v>
      </c>
    </row>
    <row r="23" spans="1:28" x14ac:dyDescent="0.3">
      <c r="A23" s="258" t="s">
        <v>307</v>
      </c>
      <c r="B23" s="259">
        <f>B6-B20</f>
        <v>-744.80191291771246</v>
      </c>
      <c r="C23" s="259">
        <f>C6-C20</f>
        <v>-1755.4935499300486</v>
      </c>
      <c r="D23" s="260">
        <f>D6-D20</f>
        <v>-2120.5566535947082</v>
      </c>
      <c r="E23" s="312">
        <v>-2758.7027187301437</v>
      </c>
      <c r="F23" s="260">
        <v>-3893.0034189143757</v>
      </c>
      <c r="G23" s="260">
        <v>-1447.3215976842312</v>
      </c>
      <c r="H23" s="260">
        <v>141.59797382220449</v>
      </c>
      <c r="I23" s="260">
        <v>-1620.3065857113234</v>
      </c>
      <c r="J23" s="260">
        <v>-5603.5694941944748</v>
      </c>
      <c r="K23" s="260">
        <v>-6250.6505529484939</v>
      </c>
      <c r="L23" s="260">
        <v>-4627.726334637543</v>
      </c>
      <c r="M23" s="260">
        <v>-4525.6363829060756</v>
      </c>
      <c r="N23" s="260">
        <v>-3727.5206002122668</v>
      </c>
      <c r="O23" s="256">
        <v>-2487.6813966969939</v>
      </c>
      <c r="P23" s="260"/>
      <c r="Q23" s="258" t="s">
        <v>307</v>
      </c>
      <c r="R23" s="545">
        <v>-2.7985131352463801</v>
      </c>
      <c r="S23" s="545">
        <v>-3.2211333924067351</v>
      </c>
      <c r="T23" s="545">
        <v>-1.0569883397107573</v>
      </c>
      <c r="U23" s="545">
        <v>9.0032400124745296E-2</v>
      </c>
      <c r="V23" s="545">
        <v>-0.97638878535313778</v>
      </c>
      <c r="W23" s="545">
        <v>-3.221230199082822</v>
      </c>
      <c r="X23" s="545">
        <v>-3.373598839492947</v>
      </c>
      <c r="Y23" s="545">
        <v>-2.4593060604666155</v>
      </c>
      <c r="Z23" s="545">
        <v>-2.2806422545096647</v>
      </c>
      <c r="AA23" s="545">
        <v>-1.7572889267110421</v>
      </c>
      <c r="AB23" s="545">
        <v>-1.0656985317767032</v>
      </c>
    </row>
    <row r="24" spans="1:28" x14ac:dyDescent="0.3">
      <c r="A24" s="258" t="s">
        <v>308</v>
      </c>
      <c r="B24" s="259">
        <v>744.80191291771246</v>
      </c>
      <c r="C24" s="259">
        <v>1755.4935499300486</v>
      </c>
      <c r="D24" s="260">
        <v>2120.5566535947082</v>
      </c>
      <c r="E24" s="312">
        <v>2758.7027187301437</v>
      </c>
      <c r="F24" s="261">
        <v>3893.0034189143757</v>
      </c>
      <c r="G24" s="262">
        <v>1447.3215976842312</v>
      </c>
      <c r="H24" s="262">
        <v>-141.59797382220449</v>
      </c>
      <c r="I24" s="262">
        <v>1620.3065857113234</v>
      </c>
      <c r="J24" s="262">
        <v>5603.5694941944748</v>
      </c>
      <c r="K24" s="263">
        <v>6250.6505529484939</v>
      </c>
      <c r="L24" s="263">
        <v>4627.726334637543</v>
      </c>
      <c r="M24" s="263">
        <v>4525.6363829060756</v>
      </c>
      <c r="N24" s="263">
        <v>3727.5206002122668</v>
      </c>
      <c r="O24" s="256">
        <v>2487.6813966969908</v>
      </c>
      <c r="P24" s="263"/>
      <c r="Q24" s="258" t="s">
        <v>308</v>
      </c>
      <c r="R24" s="545">
        <v>2.7985131352463801</v>
      </c>
      <c r="S24" s="545">
        <v>3.2211333924067351</v>
      </c>
      <c r="T24" s="545">
        <v>1.0569883397107573</v>
      </c>
      <c r="U24" s="545">
        <v>-9.0032400124745296E-2</v>
      </c>
      <c r="V24" s="545">
        <v>0.97638878535313778</v>
      </c>
      <c r="W24" s="545">
        <v>3.221230199082822</v>
      </c>
      <c r="X24" s="545">
        <v>3.373598839492947</v>
      </c>
      <c r="Y24" s="545">
        <v>2.4593060604666155</v>
      </c>
      <c r="Z24" s="545">
        <v>2.2806422545096647</v>
      </c>
      <c r="AA24" s="545">
        <v>1.7572889267110421</v>
      </c>
      <c r="AB24" s="545">
        <v>1.0656985317767032</v>
      </c>
    </row>
    <row r="25" spans="1:28" x14ac:dyDescent="0.3">
      <c r="A25" s="254" t="s">
        <v>309</v>
      </c>
      <c r="B25" s="255">
        <v>1106.38292</v>
      </c>
      <c r="C25" s="255">
        <v>1447.2065199999995</v>
      </c>
      <c r="D25" s="256">
        <v>2106.8307100000002</v>
      </c>
      <c r="E25" s="311">
        <v>2388.3434900000002</v>
      </c>
      <c r="F25" s="256">
        <v>3044.6328199999994</v>
      </c>
      <c r="G25" s="256">
        <v>1101.1087899999998</v>
      </c>
      <c r="H25" s="256">
        <v>-590.54979599999979</v>
      </c>
      <c r="I25" s="256">
        <v>641.90303666666682</v>
      </c>
      <c r="J25" s="256">
        <v>-346.32678999999996</v>
      </c>
      <c r="K25" s="256">
        <v>2287.5812233333336</v>
      </c>
      <c r="L25" s="256">
        <v>1755.0315066666656</v>
      </c>
      <c r="M25" s="256">
        <v>4144.217366666664</v>
      </c>
      <c r="N25" s="256">
        <v>2934.8418499999993</v>
      </c>
      <c r="O25" s="256">
        <v>3617.4435099999996</v>
      </c>
      <c r="P25" s="256"/>
      <c r="Q25" s="254" t="s">
        <v>309</v>
      </c>
      <c r="R25" s="547">
        <v>2.4228093091965346</v>
      </c>
      <c r="S25" s="547">
        <v>2.5191779684730831</v>
      </c>
      <c r="T25" s="547">
        <v>0.80414688321188543</v>
      </c>
      <c r="U25" s="547">
        <v>-0.3754899458788804</v>
      </c>
      <c r="V25" s="547">
        <v>0.38680761518371054</v>
      </c>
      <c r="W25" s="547">
        <v>-0.19908708473326148</v>
      </c>
      <c r="X25" s="547">
        <v>1.2346525045529579</v>
      </c>
      <c r="Y25" s="547">
        <v>0.93267391123577315</v>
      </c>
      <c r="Z25" s="547">
        <v>2.0884305407284245</v>
      </c>
      <c r="AA25" s="547">
        <v>1.3835913031196816</v>
      </c>
      <c r="AB25" s="547">
        <v>1.54967764059769</v>
      </c>
    </row>
    <row r="26" spans="1:28" x14ac:dyDescent="0.3">
      <c r="A26" s="254" t="s">
        <v>310</v>
      </c>
      <c r="B26" s="255">
        <v>1372.2167530944914</v>
      </c>
      <c r="C26" s="255">
        <v>1052.0937500225461</v>
      </c>
      <c r="D26" s="256">
        <v>1062.9849617658065</v>
      </c>
      <c r="E26" s="311">
        <v>1087.2277790031421</v>
      </c>
      <c r="F26" s="256">
        <v>1339.8589434375974</v>
      </c>
      <c r="G26" s="256">
        <v>447.55463670840516</v>
      </c>
      <c r="H26" s="256">
        <v>-228.77604996732356</v>
      </c>
      <c r="I26" s="256">
        <v>223.54726391718162</v>
      </c>
      <c r="J26" s="256">
        <v>-89.773000000000138</v>
      </c>
      <c r="K26" s="256">
        <v>655.95899849991747</v>
      </c>
      <c r="L26" s="256">
        <v>497.64950887067005</v>
      </c>
      <c r="M26" s="256">
        <v>1182.7000054114574</v>
      </c>
      <c r="N26" s="256">
        <v>843.91</v>
      </c>
      <c r="O26" s="256">
        <v>1081.8190150181099</v>
      </c>
      <c r="P26" s="256"/>
      <c r="Q26" s="254" t="s">
        <v>310</v>
      </c>
      <c r="R26" s="547">
        <v>2.4228093091965346</v>
      </c>
      <c r="S26" s="547">
        <v>2.5191779684730831</v>
      </c>
      <c r="T26" s="547">
        <v>0.80414688321188543</v>
      </c>
      <c r="U26" s="547">
        <v>-0.3754899458788804</v>
      </c>
      <c r="V26" s="547">
        <v>0.38680761518371054</v>
      </c>
      <c r="W26" s="547">
        <v>-0.19908708473326148</v>
      </c>
      <c r="X26" s="547">
        <v>1.2346525045529579</v>
      </c>
      <c r="Y26" s="547">
        <v>0.93267391123577315</v>
      </c>
      <c r="Z26" s="547">
        <v>2.0884305407284245</v>
      </c>
      <c r="AA26" s="547">
        <v>1.3835913031196816</v>
      </c>
      <c r="AB26" s="547"/>
    </row>
    <row r="27" spans="1:28" ht="15.5" x14ac:dyDescent="0.35">
      <c r="A27" s="254" t="s">
        <v>311</v>
      </c>
      <c r="B27" s="255">
        <v>873.63599999999997</v>
      </c>
      <c r="C27" s="255">
        <v>320.47699999999998</v>
      </c>
      <c r="D27" s="256">
        <v>1388.2629999999999</v>
      </c>
      <c r="E27" s="311">
        <v>494.78800000000001</v>
      </c>
      <c r="F27" s="251">
        <v>628.44899999999996</v>
      </c>
      <c r="G27" s="257">
        <v>380.37400000000002</v>
      </c>
      <c r="H27" s="257">
        <v>1565.835</v>
      </c>
      <c r="I27" s="257">
        <v>657.02299999999991</v>
      </c>
      <c r="J27" s="257">
        <v>811.83300000000008</v>
      </c>
      <c r="K27" s="257">
        <v>1298.5029999999999</v>
      </c>
      <c r="L27" s="257">
        <v>1317.8109999999999</v>
      </c>
      <c r="M27" s="257">
        <v>2863.0450000000001</v>
      </c>
      <c r="N27" s="257">
        <v>2101.011</v>
      </c>
      <c r="O27" s="256">
        <v>2473.5383333333334</v>
      </c>
      <c r="P27" s="257"/>
      <c r="Q27" s="254" t="s">
        <v>311</v>
      </c>
      <c r="R27" s="547">
        <v>1.0993605088807137</v>
      </c>
      <c r="S27" s="547">
        <v>1.1816550086093882</v>
      </c>
      <c r="T27" s="547">
        <v>0.68534719799734756</v>
      </c>
      <c r="U27" s="547">
        <v>2.6449368579309667</v>
      </c>
      <c r="V27" s="547">
        <v>1.1579467381550121</v>
      </c>
      <c r="W27" s="547">
        <v>1.577772055816159</v>
      </c>
      <c r="X27" s="547">
        <v>2.4456575890609455</v>
      </c>
      <c r="Y27" s="547">
        <v>2.4593704458895207</v>
      </c>
      <c r="Z27" s="728">
        <v>5.0681954860833898</v>
      </c>
      <c r="AA27" s="547">
        <v>3.4683421805597048</v>
      </c>
      <c r="AB27" s="547">
        <v>3.615174191159634</v>
      </c>
    </row>
    <row r="28" spans="1:28" ht="15.5" x14ac:dyDescent="0.35">
      <c r="A28" s="254" t="s">
        <v>312</v>
      </c>
      <c r="B28" s="250">
        <v>1032</v>
      </c>
      <c r="C28" s="250">
        <v>770</v>
      </c>
      <c r="D28" s="251">
        <v>931</v>
      </c>
      <c r="E28" s="309">
        <v>832</v>
      </c>
      <c r="F28" s="251">
        <v>841</v>
      </c>
      <c r="G28" s="264">
        <v>819.4</v>
      </c>
      <c r="H28" s="264">
        <v>852.9</v>
      </c>
      <c r="I28" s="257">
        <v>677.95</v>
      </c>
      <c r="J28" s="257">
        <v>947.55</v>
      </c>
      <c r="K28" s="257">
        <v>633.00699999999995</v>
      </c>
      <c r="L28" s="257">
        <v>735.2360000000001</v>
      </c>
      <c r="M28" s="257">
        <v>1792.9469999999997</v>
      </c>
      <c r="N28" s="257">
        <v>1186.5119999999999</v>
      </c>
      <c r="O28" s="256">
        <v>-1348.3340000000001</v>
      </c>
      <c r="P28" s="257"/>
      <c r="Q28" s="254" t="s">
        <v>312</v>
      </c>
      <c r="R28" s="547">
        <v>1.8470553973787354</v>
      </c>
      <c r="S28" s="547">
        <v>1.5787014908638333</v>
      </c>
      <c r="T28" s="547">
        <v>1.4845107765265535</v>
      </c>
      <c r="U28" s="547">
        <v>1.4492117515607097</v>
      </c>
      <c r="V28" s="547">
        <v>1.2088750397004706</v>
      </c>
      <c r="W28" s="547">
        <v>1.8659948180312633</v>
      </c>
      <c r="X28" s="547">
        <v>1.1929966120395195</v>
      </c>
      <c r="Y28" s="547">
        <v>1.3677520971527124</v>
      </c>
      <c r="Z28" s="728">
        <v>-3.1738955874555783</v>
      </c>
      <c r="AA28" s="547">
        <v>-1.9586901816983613</v>
      </c>
      <c r="AB28" s="547">
        <v>-1.9706435158796276</v>
      </c>
    </row>
    <row r="29" spans="1:28" x14ac:dyDescent="0.3">
      <c r="A29" s="254" t="s">
        <v>313</v>
      </c>
      <c r="B29" s="250">
        <v>1530.5807530944915</v>
      </c>
      <c r="C29" s="250">
        <v>1501.6167500225461</v>
      </c>
      <c r="D29" s="251">
        <v>605.72196176580655</v>
      </c>
      <c r="E29" s="309">
        <v>1424.4397790031421</v>
      </c>
      <c r="F29" s="251">
        <v>1552.4099434375976</v>
      </c>
      <c r="G29" s="264">
        <v>886.58063670840511</v>
      </c>
      <c r="H29" s="264">
        <v>-941.71104996732367</v>
      </c>
      <c r="I29" s="257">
        <v>244.47426391718176</v>
      </c>
      <c r="J29" s="257">
        <v>45.943999999999846</v>
      </c>
      <c r="K29" s="257">
        <v>-9.5370015000825106</v>
      </c>
      <c r="L29" s="257">
        <v>-84.925491129329771</v>
      </c>
      <c r="M29" s="257">
        <v>112.60200541145696</v>
      </c>
      <c r="N29" s="257">
        <v>-70.588999999999942</v>
      </c>
      <c r="O29" s="256">
        <v>-43.385318315223287</v>
      </c>
      <c r="P29" s="257"/>
      <c r="Q29" s="254" t="s">
        <v>313</v>
      </c>
      <c r="R29" s="547">
        <v>3.170504197694556</v>
      </c>
      <c r="S29" s="547">
        <v>2.9162244507275283</v>
      </c>
      <c r="T29" s="547">
        <v>1.6033104617410912</v>
      </c>
      <c r="U29" s="547">
        <v>-1.571215052249137</v>
      </c>
      <c r="V29" s="547">
        <v>0.43773591672916895</v>
      </c>
      <c r="W29" s="547">
        <v>8.9135677481842923E-2</v>
      </c>
      <c r="X29" s="547">
        <v>-1.8008472468468061E-2</v>
      </c>
      <c r="Y29" s="547">
        <v>-0.15894443750103529</v>
      </c>
      <c r="Z29" s="547">
        <v>0.19873270293789219</v>
      </c>
      <c r="AA29" s="547">
        <v>-0.11699886755165534</v>
      </c>
      <c r="AB29" s="547">
        <v>-6.3409360160218767E-2</v>
      </c>
    </row>
    <row r="30" spans="1:28" x14ac:dyDescent="0.3">
      <c r="A30" s="254" t="s">
        <v>314</v>
      </c>
      <c r="B30" s="250">
        <v>-363.00200708228755</v>
      </c>
      <c r="C30" s="250">
        <v>239.37302993004914</v>
      </c>
      <c r="D30" s="251">
        <v>-286.26205640529196</v>
      </c>
      <c r="E30" s="309">
        <v>-4661.8512812698573</v>
      </c>
      <c r="F30" s="251">
        <v>-1302.1386510856237</v>
      </c>
      <c r="G30" s="251">
        <v>-4932.298612315768</v>
      </c>
      <c r="H30" s="251">
        <v>-1043.3171278222046</v>
      </c>
      <c r="I30" s="264">
        <v>214.50534904465644</v>
      </c>
      <c r="J30" s="264">
        <v>4631.3973430208753</v>
      </c>
      <c r="K30" s="264">
        <v>2535.9363064551608</v>
      </c>
      <c r="L30" s="264">
        <v>1739.1546799708779</v>
      </c>
      <c r="M30" s="264">
        <v>-1121.6781476631631</v>
      </c>
      <c r="N30" s="264">
        <v>611.96486318586744</v>
      </c>
      <c r="O30" s="256">
        <v>-1519.0602398559081</v>
      </c>
      <c r="P30" s="264"/>
      <c r="Q30" s="254" t="s">
        <v>314</v>
      </c>
      <c r="R30" s="547">
        <v>-4.7291257432784102</v>
      </c>
      <c r="S30" s="547">
        <v>-1.0774103793941769</v>
      </c>
      <c r="T30" s="547">
        <v>-3.6020896320008791</v>
      </c>
      <c r="U30" s="547">
        <v>-0.66337351145316237</v>
      </c>
      <c r="V30" s="547">
        <v>0.12925986912132273</v>
      </c>
      <c r="W30" s="547">
        <v>2.662373867362092</v>
      </c>
      <c r="X30" s="547">
        <v>1.3686946195463723</v>
      </c>
      <c r="Y30" s="547">
        <v>0.92423651168133569</v>
      </c>
      <c r="Z30" s="547">
        <v>-0.5652567645918698</v>
      </c>
      <c r="AA30" s="547">
        <v>0.28850251761224954</v>
      </c>
      <c r="AB30" s="547">
        <v>-0.65075064252369352</v>
      </c>
    </row>
    <row r="31" spans="1:28" x14ac:dyDescent="0.3">
      <c r="A31" s="265" t="s">
        <v>315</v>
      </c>
      <c r="B31" s="250">
        <v>1.421</v>
      </c>
      <c r="C31" s="250">
        <v>68.914000000000001</v>
      </c>
      <c r="D31" s="251">
        <v>299.988</v>
      </c>
      <c r="E31" s="309">
        <v>5032.2105100000008</v>
      </c>
      <c r="F31" s="251">
        <v>2150.5092500000001</v>
      </c>
      <c r="G31" s="251">
        <v>5278.5114199999998</v>
      </c>
      <c r="H31" s="251">
        <v>1492.2689499999999</v>
      </c>
      <c r="I31" s="264">
        <v>763.89820000000009</v>
      </c>
      <c r="J31" s="264">
        <v>1318.4989411736001</v>
      </c>
      <c r="K31" s="264">
        <v>1427.1330231599998</v>
      </c>
      <c r="L31" s="264">
        <v>1133.5401479999998</v>
      </c>
      <c r="M31" s="264">
        <v>1503.0971639025747</v>
      </c>
      <c r="N31" s="264">
        <v>180.71388702640002</v>
      </c>
      <c r="O31" s="256">
        <v>389.29812655289919</v>
      </c>
      <c r="P31" s="264"/>
      <c r="Q31" s="265" t="s">
        <v>315</v>
      </c>
      <c r="R31" s="547">
        <v>5.1048295693282544</v>
      </c>
      <c r="S31" s="547">
        <v>1.7793658033278295</v>
      </c>
      <c r="T31" s="547">
        <v>3.8549310884997512</v>
      </c>
      <c r="U31" s="547">
        <v>0.94883105720729755</v>
      </c>
      <c r="V31" s="547">
        <v>0.46032130104810448</v>
      </c>
      <c r="W31" s="547">
        <v>0.75794341645399155</v>
      </c>
      <c r="X31" s="547">
        <v>0.7702517153936167</v>
      </c>
      <c r="Y31" s="547">
        <v>0.60239563754950642</v>
      </c>
      <c r="Z31" s="547">
        <v>0.75746847837311004</v>
      </c>
      <c r="AA31" s="547">
        <v>8.5195105979110841E-2</v>
      </c>
      <c r="AB31" s="547">
        <v>0.16677153370270537</v>
      </c>
    </row>
    <row r="32" spans="1:28" x14ac:dyDescent="0.3">
      <c r="A32" s="266" t="s">
        <v>316</v>
      </c>
      <c r="B32" s="267"/>
      <c r="C32" s="267"/>
      <c r="D32" s="267"/>
      <c r="E32" s="317"/>
      <c r="F32" s="267"/>
      <c r="G32" s="267"/>
      <c r="H32" s="267"/>
      <c r="I32" s="268"/>
      <c r="J32" s="268"/>
      <c r="K32" s="268"/>
      <c r="L32" s="268"/>
      <c r="M32" s="268"/>
      <c r="N32" s="268"/>
      <c r="O32" s="268"/>
      <c r="P32" s="268"/>
      <c r="Q32" s="266" t="s">
        <v>316</v>
      </c>
      <c r="R32" s="548"/>
      <c r="S32" s="548"/>
      <c r="T32" s="548"/>
      <c r="U32" s="548"/>
      <c r="V32" s="548"/>
      <c r="W32" s="548"/>
      <c r="X32" s="548"/>
      <c r="Y32" s="548"/>
      <c r="Z32" s="548"/>
      <c r="AA32" s="548"/>
      <c r="AB32" s="375"/>
    </row>
    <row r="33" spans="1:27" x14ac:dyDescent="0.3">
      <c r="A33" s="269" t="s">
        <v>317</v>
      </c>
      <c r="B33" s="250"/>
      <c r="C33" s="250"/>
      <c r="D33" s="250"/>
      <c r="E33" s="318"/>
      <c r="F33" s="250"/>
      <c r="G33" s="250"/>
      <c r="H33" s="250"/>
      <c r="I33" s="270"/>
      <c r="J33" s="270"/>
      <c r="K33" s="270"/>
      <c r="L33" s="270"/>
      <c r="M33" s="270"/>
      <c r="N33" s="270"/>
      <c r="O33" s="270"/>
      <c r="P33" s="270"/>
      <c r="Q33" s="269" t="s">
        <v>317</v>
      </c>
      <c r="R33" s="546"/>
      <c r="S33" s="546"/>
      <c r="T33" s="546"/>
      <c r="U33" s="546"/>
      <c r="V33" s="546"/>
      <c r="W33" s="546"/>
      <c r="X33" s="546"/>
      <c r="Y33" s="544"/>
      <c r="Z33" s="544"/>
      <c r="AA33" s="544"/>
    </row>
    <row r="34" spans="1:27" x14ac:dyDescent="0.3">
      <c r="A34" s="269" t="s">
        <v>318</v>
      </c>
      <c r="B34" s="250"/>
      <c r="C34" s="250"/>
      <c r="D34" s="250"/>
      <c r="E34" s="318"/>
      <c r="F34" s="250"/>
      <c r="G34" s="250"/>
      <c r="H34" s="250"/>
      <c r="I34" s="270"/>
      <c r="J34" s="270"/>
      <c r="K34" s="270"/>
      <c r="L34" s="270"/>
      <c r="M34" s="270"/>
      <c r="N34" s="270"/>
      <c r="O34" s="270"/>
      <c r="P34" s="270"/>
      <c r="Q34" s="269" t="s">
        <v>318</v>
      </c>
      <c r="R34" s="546"/>
      <c r="S34" s="546"/>
      <c r="T34" s="546"/>
      <c r="U34" s="546"/>
      <c r="V34" s="546"/>
      <c r="W34" s="546"/>
      <c r="X34" s="546"/>
      <c r="Y34" s="544"/>
      <c r="Z34" s="544"/>
      <c r="AA34" s="544"/>
    </row>
    <row r="35" spans="1:27" x14ac:dyDescent="0.3">
      <c r="A35" s="38" t="s">
        <v>38</v>
      </c>
      <c r="B35" s="290"/>
      <c r="C35" s="271"/>
      <c r="D35" s="271"/>
      <c r="E35" s="319"/>
      <c r="F35" s="272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38" t="s">
        <v>38</v>
      </c>
      <c r="R35" s="546"/>
      <c r="S35" s="546"/>
      <c r="T35" s="546"/>
      <c r="U35" s="546"/>
      <c r="V35" s="546"/>
      <c r="W35" s="546"/>
      <c r="X35" s="546"/>
      <c r="Y35" s="544"/>
      <c r="Z35" s="544"/>
      <c r="AA35" s="544"/>
    </row>
    <row r="36" spans="1:27" x14ac:dyDescent="0.3">
      <c r="A36" t="s">
        <v>462</v>
      </c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210"/>
      <c r="M36" s="210"/>
      <c r="N36" s="210"/>
      <c r="O36" s="210"/>
      <c r="P36" s="210"/>
      <c r="Q36" s="560"/>
      <c r="R36" s="546"/>
      <c r="S36" s="546"/>
      <c r="T36" s="546"/>
      <c r="U36" s="546"/>
      <c r="V36" s="546"/>
      <c r="W36" s="546"/>
      <c r="X36" s="546"/>
      <c r="Y36" s="544"/>
      <c r="Z36" s="544"/>
      <c r="AA36" s="544"/>
    </row>
    <row r="37" spans="1:27" x14ac:dyDescent="0.3">
      <c r="A37" t="s">
        <v>417</v>
      </c>
      <c r="B37" s="210">
        <f>'balanza de pagos'!C45</f>
        <v>1980.6479193304233</v>
      </c>
      <c r="C37" s="210">
        <f>'balanza de pagos'!D45</f>
        <v>3542.2484492625908</v>
      </c>
      <c r="D37" s="210">
        <f>'balanza de pagos'!E45</f>
        <v>843.79503585842076</v>
      </c>
      <c r="E37" s="381">
        <f>'balanza de pagos'!F45</f>
        <v>2738.5637926601362</v>
      </c>
      <c r="F37" s="210">
        <f>'balanza de pagos'!G45</f>
        <v>2867.1897049771487</v>
      </c>
      <c r="G37" s="210">
        <f>'balanza de pagos'!H45</f>
        <v>579.78336184510022</v>
      </c>
      <c r="H37" s="210">
        <f>'balanza de pagos'!I45</f>
        <v>29.387378564393753</v>
      </c>
      <c r="I37" s="210">
        <f>'balanza de pagos'!J45</f>
        <v>104.79474430345962</v>
      </c>
      <c r="J37" s="210">
        <f>'balanza de pagos'!K45</f>
        <v>-45.27546734611682</v>
      </c>
      <c r="K37" s="210">
        <f>'balanza de pagos'!L45</f>
        <v>112.2114160835898</v>
      </c>
      <c r="L37" s="210">
        <f>'balanza de pagos'!M45</f>
        <v>160.66754822550914</v>
      </c>
      <c r="M37" s="210">
        <f>'balanza de pagos'!N45</f>
        <v>458.30577902329776</v>
      </c>
      <c r="N37" s="210">
        <f>'balanza de pagos'!O45</f>
        <v>300.6874549252716</v>
      </c>
      <c r="O37" s="210">
        <f>'balanza de pagos'!P45</f>
        <v>461.17927487700064</v>
      </c>
      <c r="P37" s="210"/>
      <c r="Q37" s="560"/>
      <c r="R37" s="546"/>
      <c r="S37" s="546"/>
      <c r="T37" s="546"/>
      <c r="U37" s="546"/>
      <c r="V37" s="546"/>
      <c r="W37" s="546"/>
      <c r="X37" s="546"/>
      <c r="Y37" s="544"/>
      <c r="Z37" s="544"/>
      <c r="AA37" s="544"/>
    </row>
    <row r="38" spans="1:27" x14ac:dyDescent="0.3">
      <c r="A38" t="s">
        <v>416</v>
      </c>
      <c r="B38" s="322">
        <f t="shared" ref="B38:K38" si="0">B26/B27</f>
        <v>1.5706962088266641</v>
      </c>
      <c r="C38" s="322">
        <f t="shared" si="0"/>
        <v>3.2828993969069424</v>
      </c>
      <c r="D38" s="322">
        <f t="shared" si="0"/>
        <v>0.7656942249168972</v>
      </c>
      <c r="E38" s="321">
        <f t="shared" si="0"/>
        <v>2.1973608474804203</v>
      </c>
      <c r="F38" s="322">
        <f t="shared" si="0"/>
        <v>2.1320090308642348</v>
      </c>
      <c r="G38" s="322">
        <f t="shared" si="0"/>
        <v>1.1766173206065744</v>
      </c>
      <c r="H38" s="322">
        <f t="shared" si="0"/>
        <v>-0.1461048258388167</v>
      </c>
      <c r="I38" s="322">
        <f t="shared" si="0"/>
        <v>0.34024267630993382</v>
      </c>
      <c r="J38" s="322">
        <f t="shared" si="0"/>
        <v>-0.11058062434022776</v>
      </c>
      <c r="K38" s="322">
        <f t="shared" si="0"/>
        <v>0.50516556257468603</v>
      </c>
      <c r="L38" s="322">
        <f>L26/L27</f>
        <v>0.37763344582088787</v>
      </c>
      <c r="M38" s="322">
        <f>M26/M27</f>
        <v>0.41309165780190577</v>
      </c>
      <c r="N38" s="322">
        <f>N26/N27</f>
        <v>0.40166853005529241</v>
      </c>
      <c r="O38" s="322">
        <f>O26/O27</f>
        <v>0.43735688282633306</v>
      </c>
      <c r="P38" s="322"/>
      <c r="Q38" s="560"/>
      <c r="R38" s="546"/>
      <c r="S38" s="546"/>
      <c r="T38" s="546"/>
      <c r="U38" s="546"/>
      <c r="V38" s="546"/>
      <c r="W38" s="546"/>
      <c r="X38" s="546"/>
      <c r="Y38" s="544"/>
      <c r="Z38" s="544"/>
      <c r="AA38" s="544"/>
    </row>
    <row r="39" spans="1:27" x14ac:dyDescent="0.3">
      <c r="E39"/>
      <c r="Q39" s="559"/>
      <c r="R39" s="544"/>
      <c r="S39" s="544"/>
      <c r="T39" s="544"/>
      <c r="U39" s="544"/>
      <c r="V39" s="544"/>
      <c r="W39" s="544"/>
      <c r="X39" s="544"/>
      <c r="Y39" s="544"/>
      <c r="Z39" s="544"/>
      <c r="AA39" s="544"/>
    </row>
    <row r="40" spans="1:27" x14ac:dyDescent="0.3">
      <c r="A40" s="246" t="s">
        <v>319</v>
      </c>
      <c r="B40" s="274"/>
      <c r="C40" s="274"/>
      <c r="D40" s="274"/>
      <c r="E40" s="320"/>
      <c r="F40" s="275"/>
      <c r="G40" s="275"/>
      <c r="H40" s="275"/>
      <c r="I40" s="275"/>
      <c r="J40" s="275"/>
      <c r="K40" s="275"/>
      <c r="L40" s="275"/>
      <c r="M40" s="275"/>
      <c r="N40" s="275"/>
      <c r="O40" s="275"/>
      <c r="P40" s="275"/>
    </row>
    <row r="41" spans="1:27" x14ac:dyDescent="0.3">
      <c r="A41" s="249"/>
      <c r="B41" s="274"/>
      <c r="C41" s="274"/>
      <c r="D41" s="274"/>
      <c r="E41" s="453"/>
      <c r="F41" s="275"/>
      <c r="G41" s="275"/>
      <c r="H41" s="275"/>
      <c r="I41" s="275"/>
      <c r="J41" s="275"/>
      <c r="K41" s="275"/>
      <c r="L41" s="275"/>
      <c r="M41" s="275"/>
      <c r="N41" s="275"/>
      <c r="O41" s="275"/>
      <c r="P41" s="275"/>
    </row>
    <row r="42" spans="1:27" x14ac:dyDescent="0.3">
      <c r="A42" s="7" t="s">
        <v>22</v>
      </c>
      <c r="B42" s="9"/>
      <c r="C42" s="9"/>
      <c r="D42" s="842" t="s">
        <v>23</v>
      </c>
      <c r="E42" s="842"/>
      <c r="F42" s="842"/>
      <c r="G42" s="842"/>
      <c r="H42" s="842"/>
      <c r="I42" s="842"/>
      <c r="J42" s="842"/>
      <c r="K42" s="842"/>
    </row>
    <row r="43" spans="1:27" x14ac:dyDescent="0.3">
      <c r="A43" s="10"/>
      <c r="B43" s="11">
        <v>1991</v>
      </c>
      <c r="C43" s="12">
        <v>1992</v>
      </c>
      <c r="D43" s="13">
        <v>1993</v>
      </c>
      <c r="E43" s="308">
        <v>1994</v>
      </c>
      <c r="F43" s="13">
        <v>1995</v>
      </c>
      <c r="G43" s="14">
        <v>1996</v>
      </c>
      <c r="H43" s="14">
        <v>1997</v>
      </c>
      <c r="I43" s="15" t="s">
        <v>587</v>
      </c>
      <c r="J43" s="15" t="s">
        <v>588</v>
      </c>
      <c r="K43" s="15" t="s">
        <v>585</v>
      </c>
      <c r="L43" s="15" t="s">
        <v>613</v>
      </c>
      <c r="M43" s="15" t="s">
        <v>615</v>
      </c>
      <c r="N43" s="15" t="s">
        <v>619</v>
      </c>
      <c r="O43" s="551" t="s">
        <v>774</v>
      </c>
      <c r="P43" s="551"/>
    </row>
    <row r="44" spans="1:27" x14ac:dyDescent="0.3">
      <c r="A44" s="10"/>
      <c r="B44" s="16"/>
      <c r="C44" s="16"/>
      <c r="D44" s="13"/>
      <c r="E44" s="308"/>
      <c r="F44" s="13"/>
      <c r="G44" s="14"/>
      <c r="H44" s="14"/>
      <c r="I44" s="15"/>
      <c r="J44" s="15"/>
      <c r="K44" s="15"/>
      <c r="L44" s="15"/>
      <c r="M44" s="15"/>
      <c r="N44" s="15"/>
      <c r="O44" s="551"/>
      <c r="P44" s="551"/>
    </row>
    <row r="45" spans="1:27" x14ac:dyDescent="0.3">
      <c r="A45" s="10" t="s">
        <v>24</v>
      </c>
      <c r="B45" s="250">
        <v>4114.8217106312186</v>
      </c>
      <c r="C45" s="250">
        <v>7484.8907509798919</v>
      </c>
      <c r="D45" s="251">
        <v>11473.741391019523</v>
      </c>
      <c r="E45" s="309">
        <v>17051.049360869256</v>
      </c>
      <c r="F45" s="251">
        <v>21518.498883528409</v>
      </c>
      <c r="G45" s="251">
        <v>25430.464980333836</v>
      </c>
      <c r="H45" s="251">
        <v>29884.692787113767</v>
      </c>
      <c r="I45" s="251">
        <v>31391.049973011279</v>
      </c>
      <c r="J45" s="251">
        <v>30790.264997097438</v>
      </c>
      <c r="K45" s="251">
        <v>33159.835769249628</v>
      </c>
      <c r="L45" s="251">
        <v>32481.865467328073</v>
      </c>
      <c r="M45" s="251">
        <v>34234.835309158749</v>
      </c>
      <c r="N45" s="251">
        <v>37258.700738766333</v>
      </c>
      <c r="O45" s="251">
        <v>41387.866205979233</v>
      </c>
      <c r="P45" s="251"/>
    </row>
    <row r="46" spans="1:27" x14ac:dyDescent="0.3">
      <c r="A46" s="10" t="s">
        <v>25</v>
      </c>
      <c r="B46" s="250">
        <f>B47+B48</f>
        <v>3681.9070418654724</v>
      </c>
      <c r="C46" s="250">
        <f>C47+C48</f>
        <v>7268.4096087911239</v>
      </c>
      <c r="D46" s="251">
        <f>D47+D48</f>
        <v>10914.564311918228</v>
      </c>
      <c r="E46" s="309">
        <v>16844.446928376266</v>
      </c>
      <c r="F46" s="251">
        <v>21454.302616428082</v>
      </c>
      <c r="G46" s="251">
        <v>24215.017717038936</v>
      </c>
      <c r="H46" s="251">
        <v>27845.153867822588</v>
      </c>
      <c r="I46" s="251">
        <v>29799.633838736954</v>
      </c>
      <c r="J46" s="251">
        <v>32916.601633751692</v>
      </c>
      <c r="K46" s="251">
        <v>34442.744957607531</v>
      </c>
      <c r="L46" s="251">
        <v>33562.921315629705</v>
      </c>
      <c r="M46" s="251">
        <v>34641.19555258895</v>
      </c>
      <c r="N46" s="251">
        <v>36635.044428239053</v>
      </c>
      <c r="O46" s="251">
        <v>39451.590969463141</v>
      </c>
      <c r="P46" s="251"/>
    </row>
    <row r="47" spans="1:27" x14ac:dyDescent="0.3">
      <c r="A47" s="10" t="s">
        <v>26</v>
      </c>
      <c r="B47" s="250">
        <v>2931.5990065490469</v>
      </c>
      <c r="C47" s="250">
        <v>5474.7511143509146</v>
      </c>
      <c r="D47" s="251">
        <v>7903.2224616571002</v>
      </c>
      <c r="E47" s="309">
        <v>11704.785684948807</v>
      </c>
      <c r="F47" s="251">
        <v>15421.826175807222</v>
      </c>
      <c r="G47" s="251">
        <v>17909.434251114013</v>
      </c>
      <c r="H47" s="251">
        <v>20513.321281366152</v>
      </c>
      <c r="I47" s="251">
        <v>22602.594483627621</v>
      </c>
      <c r="J47" s="251">
        <v>25339.73345274432</v>
      </c>
      <c r="K47" s="251">
        <v>27535.279934548336</v>
      </c>
      <c r="L47" s="251">
        <v>27803.088975063409</v>
      </c>
      <c r="M47" s="251">
        <v>29121.835306792025</v>
      </c>
      <c r="N47" s="251">
        <v>30805.210976949355</v>
      </c>
      <c r="O47" s="251">
        <v>33163.777209387998</v>
      </c>
      <c r="P47" s="251"/>
      <c r="Q47" s="578"/>
    </row>
    <row r="48" spans="1:27" x14ac:dyDescent="0.3">
      <c r="A48" s="10" t="s">
        <v>27</v>
      </c>
      <c r="B48" s="250">
        <v>750.3080353164255</v>
      </c>
      <c r="C48" s="250">
        <v>1793.6584944402096</v>
      </c>
      <c r="D48" s="251">
        <v>3011.3418502611266</v>
      </c>
      <c r="E48" s="309">
        <v>5139.6612434274584</v>
      </c>
      <c r="F48" s="251">
        <v>6032.4764406208596</v>
      </c>
      <c r="G48" s="251">
        <v>6305.583465924924</v>
      </c>
      <c r="H48" s="251">
        <v>7331.8325864564367</v>
      </c>
      <c r="I48" s="251">
        <v>7197.0393551093321</v>
      </c>
      <c r="J48" s="251">
        <v>7576.8681810073713</v>
      </c>
      <c r="K48" s="251">
        <v>6907.4650230591978</v>
      </c>
      <c r="L48" s="251">
        <v>5759.832340566295</v>
      </c>
      <c r="M48" s="251">
        <v>5519.3602457969209</v>
      </c>
      <c r="N48" s="251">
        <v>5829.8334512897</v>
      </c>
      <c r="O48" s="251">
        <v>6287.8137600751434</v>
      </c>
      <c r="P48" s="251"/>
    </row>
    <row r="49" spans="1:17" x14ac:dyDescent="0.3">
      <c r="A49" s="10" t="s">
        <v>28</v>
      </c>
      <c r="B49" s="250">
        <v>32.947453160760517</v>
      </c>
      <c r="C49" s="250">
        <v>56.801023592485251</v>
      </c>
      <c r="D49" s="251">
        <v>-28.046352982474559</v>
      </c>
      <c r="E49" s="309">
        <v>356.74492548204364</v>
      </c>
      <c r="F49" s="251">
        <v>328.74396066924976</v>
      </c>
      <c r="G49" s="251">
        <v>643.47627088446461</v>
      </c>
      <c r="H49" s="251">
        <v>226.70678540053098</v>
      </c>
      <c r="I49" s="251">
        <v>570.287113142615</v>
      </c>
      <c r="J49" s="251">
        <v>576.47125000000005</v>
      </c>
      <c r="K49" s="251">
        <v>557.54060020951374</v>
      </c>
      <c r="L49" s="251">
        <v>317.33617945000003</v>
      </c>
      <c r="M49" s="251">
        <v>398.51719036827762</v>
      </c>
      <c r="N49" s="251">
        <v>381.8421088911</v>
      </c>
      <c r="O49" s="251">
        <v>187.73295460121881</v>
      </c>
      <c r="P49" s="251"/>
      <c r="Q49" s="569"/>
    </row>
    <row r="50" spans="1:17" x14ac:dyDescent="0.3">
      <c r="A50" s="22" t="s">
        <v>29</v>
      </c>
      <c r="B50" s="276">
        <f>B45-B46+B49</f>
        <v>465.86212192650675</v>
      </c>
      <c r="C50" s="276">
        <f>C45-C46+C49</f>
        <v>273.28216578125324</v>
      </c>
      <c r="D50" s="277">
        <f>D45-D46+D49</f>
        <v>531.13072611882046</v>
      </c>
      <c r="E50" s="309">
        <v>563.34735797503311</v>
      </c>
      <c r="F50" s="251">
        <v>392.94022776957729</v>
      </c>
      <c r="G50" s="251">
        <v>1858.9235341793647</v>
      </c>
      <c r="H50" s="251">
        <v>2266.2457046917098</v>
      </c>
      <c r="I50" s="251">
        <v>2161.7032474169396</v>
      </c>
      <c r="J50" s="251">
        <v>-1549.8653866542541</v>
      </c>
      <c r="K50" s="251">
        <v>-725.36858814838843</v>
      </c>
      <c r="L50" s="251">
        <v>-763.71966885163204</v>
      </c>
      <c r="M50" s="251">
        <v>-7.843053061923456</v>
      </c>
      <c r="N50" s="251">
        <v>1005.4984194183799</v>
      </c>
      <c r="O50" s="251">
        <v>2124.0081911173111</v>
      </c>
      <c r="P50" s="251"/>
    </row>
    <row r="51" spans="1:17" x14ac:dyDescent="0.3">
      <c r="A51" s="22" t="s">
        <v>30</v>
      </c>
      <c r="B51" s="278">
        <v>1042.4020348442184</v>
      </c>
      <c r="C51" s="278">
        <v>2006.7907157113036</v>
      </c>
      <c r="D51" s="279">
        <v>2907.6573797135302</v>
      </c>
      <c r="E51" s="309">
        <v>3597.011076705176</v>
      </c>
      <c r="F51" s="251">
        <v>4086.6776466839506</v>
      </c>
      <c r="G51" s="251">
        <v>3479.6831318635905</v>
      </c>
      <c r="H51" s="251">
        <v>3081.3985308695069</v>
      </c>
      <c r="I51" s="251">
        <v>3523.1969727725545</v>
      </c>
      <c r="J51" s="251">
        <v>4026.5928490124393</v>
      </c>
      <c r="K51" s="251">
        <v>4496.7830347664785</v>
      </c>
      <c r="L51" s="251">
        <v>4159.3708922130772</v>
      </c>
      <c r="M51" s="251">
        <v>4189.0449313132558</v>
      </c>
      <c r="N51" s="251">
        <v>4537.9233853406422</v>
      </c>
      <c r="O51" s="251">
        <v>4867.183435754303</v>
      </c>
      <c r="P51" s="251"/>
      <c r="Q51" s="569"/>
    </row>
    <row r="52" spans="1:17" x14ac:dyDescent="0.3">
      <c r="A52" s="23" t="s">
        <v>31</v>
      </c>
      <c r="B52" s="280">
        <f>B50-B51</f>
        <v>-576.53991291771172</v>
      </c>
      <c r="C52" s="280">
        <f>C50-C51</f>
        <v>-1733.5085499300503</v>
      </c>
      <c r="D52" s="281">
        <f>D50-D51</f>
        <v>-2376.5266535947098</v>
      </c>
      <c r="E52" s="309">
        <v>-3033.663718730143</v>
      </c>
      <c r="F52" s="251">
        <v>-3693.7374189143734</v>
      </c>
      <c r="G52" s="251">
        <v>-1620.7595976842258</v>
      </c>
      <c r="H52" s="251">
        <v>-815.15282617779712</v>
      </c>
      <c r="I52" s="251">
        <v>-1361.493725355615</v>
      </c>
      <c r="J52" s="251">
        <v>-5576.4582356666933</v>
      </c>
      <c r="K52" s="251">
        <v>-5222.1516229148674</v>
      </c>
      <c r="L52" s="251">
        <v>-4923.0905610647096</v>
      </c>
      <c r="M52" s="251">
        <v>-4196.8879843751793</v>
      </c>
      <c r="N52" s="251">
        <v>-3532.4249659222623</v>
      </c>
      <c r="O52" s="251">
        <v>-2743.1752446369919</v>
      </c>
      <c r="P52" s="251"/>
      <c r="Q52" s="569"/>
    </row>
    <row r="53" spans="1:17" x14ac:dyDescent="0.3">
      <c r="A53" s="23" t="s">
        <v>32</v>
      </c>
      <c r="B53" s="282">
        <f>SUM(B54:B56)</f>
        <v>576.53991291771172</v>
      </c>
      <c r="C53" s="282">
        <f>SUM(C54:C56)</f>
        <v>1733.5085499300503</v>
      </c>
      <c r="D53" s="283">
        <f>SUM(D54:D56)</f>
        <v>2376.5266535947098</v>
      </c>
      <c r="E53" s="309">
        <v>3033.663718730143</v>
      </c>
      <c r="F53" s="251">
        <v>3693.7374189143734</v>
      </c>
      <c r="G53" s="251">
        <v>1620.7595976842258</v>
      </c>
      <c r="H53" s="251">
        <v>815.15282617779712</v>
      </c>
      <c r="I53" s="251">
        <v>1361.493725355615</v>
      </c>
      <c r="J53" s="251">
        <v>5576.4582356666933</v>
      </c>
      <c r="K53" s="251">
        <v>5222.1516229148674</v>
      </c>
      <c r="L53" s="251">
        <v>4923.0905610647096</v>
      </c>
      <c r="M53" s="251">
        <v>4196.8879843751793</v>
      </c>
      <c r="N53" s="251">
        <v>3532.4249659222623</v>
      </c>
      <c r="O53" s="251">
        <v>2743.1752446369919</v>
      </c>
      <c r="P53" s="251"/>
    </row>
    <row r="54" spans="1:17" x14ac:dyDescent="0.3">
      <c r="A54" s="22" t="s">
        <v>33</v>
      </c>
      <c r="B54" s="278">
        <v>954.41282000000001</v>
      </c>
      <c r="C54" s="278">
        <v>1425.6025199999997</v>
      </c>
      <c r="D54" s="279">
        <v>2140.9637100000004</v>
      </c>
      <c r="E54" s="309">
        <v>2459.8974900000003</v>
      </c>
      <c r="F54" s="251">
        <v>2876.5008199999993</v>
      </c>
      <c r="G54" s="251">
        <v>1089.6155899999999</v>
      </c>
      <c r="H54" s="251">
        <v>11.739740000000223</v>
      </c>
      <c r="I54" s="251">
        <v>560.92237000000011</v>
      </c>
      <c r="J54" s="251">
        <v>-330.02074974999994</v>
      </c>
      <c r="K54" s="251">
        <v>2104.2712500000007</v>
      </c>
      <c r="L54" s="251">
        <v>2064.574525999999</v>
      </c>
      <c r="M54" s="251">
        <v>3996.5487999999968</v>
      </c>
      <c r="N54" s="251">
        <v>2687.6561299999994</v>
      </c>
      <c r="O54" s="251">
        <v>3630.0711799999995</v>
      </c>
      <c r="P54" s="251"/>
    </row>
    <row r="55" spans="1:17" x14ac:dyDescent="0.3">
      <c r="A55" s="22" t="s">
        <v>34</v>
      </c>
      <c r="B55" s="278">
        <v>-379.29390708228829</v>
      </c>
      <c r="C55" s="278">
        <v>238.99202993005065</v>
      </c>
      <c r="D55" s="279">
        <v>-64.425056405290604</v>
      </c>
      <c r="E55" s="309">
        <v>-4458.444281269858</v>
      </c>
      <c r="F55" s="251">
        <v>-1333.272651085626</v>
      </c>
      <c r="G55" s="251">
        <v>-4747.3674123157743</v>
      </c>
      <c r="H55" s="251">
        <v>-688.85586382220299</v>
      </c>
      <c r="I55" s="251">
        <v>36.673155355614767</v>
      </c>
      <c r="J55" s="251">
        <v>4587.9800442430933</v>
      </c>
      <c r="K55" s="251">
        <v>1690.7473497548669</v>
      </c>
      <c r="L55" s="251">
        <v>1724.9758870647108</v>
      </c>
      <c r="M55" s="251">
        <v>-1302.7579795273923</v>
      </c>
      <c r="N55" s="251">
        <v>664.05494889586294</v>
      </c>
      <c r="O55" s="251">
        <v>-1276.1940619159068</v>
      </c>
      <c r="P55" s="251"/>
      <c r="Q55" s="578"/>
    </row>
    <row r="56" spans="1:17" x14ac:dyDescent="0.3">
      <c r="A56" s="284" t="s">
        <v>35</v>
      </c>
      <c r="B56" s="285">
        <v>1.421</v>
      </c>
      <c r="C56" s="285">
        <v>68.914000000000001</v>
      </c>
      <c r="D56" s="233">
        <v>299.988</v>
      </c>
      <c r="E56" s="309">
        <v>5032.2105100000008</v>
      </c>
      <c r="F56" s="251">
        <v>2150.5092500000001</v>
      </c>
      <c r="G56" s="251">
        <v>5278.5114199999998</v>
      </c>
      <c r="H56" s="251">
        <v>1492.2689499999999</v>
      </c>
      <c r="I56" s="251">
        <v>763.89820000000009</v>
      </c>
      <c r="J56" s="251">
        <v>1318.4989411736001</v>
      </c>
      <c r="K56" s="251">
        <v>1427.1330231599998</v>
      </c>
      <c r="L56" s="251">
        <v>1133.5401479999998</v>
      </c>
      <c r="M56" s="251">
        <v>1503.0971639025747</v>
      </c>
      <c r="N56" s="251">
        <v>180.71388702640002</v>
      </c>
      <c r="O56" s="251">
        <v>389.29812655289919</v>
      </c>
      <c r="P56" s="251"/>
      <c r="Q56" s="578"/>
    </row>
    <row r="57" spans="1:17" x14ac:dyDescent="0.3">
      <c r="A57" s="34" t="s">
        <v>320</v>
      </c>
      <c r="B57" s="286"/>
      <c r="C57" s="286"/>
      <c r="D57" s="286"/>
      <c r="E57" s="313"/>
      <c r="F57" s="286"/>
      <c r="G57" s="286"/>
      <c r="H57" s="286"/>
      <c r="I57" s="286"/>
      <c r="J57" s="286"/>
      <c r="K57" s="287"/>
      <c r="L57" s="287"/>
      <c r="M57" s="287"/>
      <c r="N57" s="287"/>
      <c r="O57" s="726"/>
      <c r="P57" s="726"/>
    </row>
    <row r="58" spans="1:17" x14ac:dyDescent="0.3">
      <c r="A58" s="288" t="s">
        <v>321</v>
      </c>
      <c r="B58" s="289"/>
      <c r="C58" s="289"/>
      <c r="D58" s="289"/>
      <c r="E58" s="314"/>
      <c r="F58" s="289"/>
      <c r="G58" s="275"/>
      <c r="H58" s="275"/>
      <c r="I58" s="275"/>
      <c r="J58" s="275"/>
      <c r="K58" s="275"/>
      <c r="L58" s="275"/>
      <c r="M58" s="275"/>
      <c r="N58" s="275"/>
      <c r="O58" s="275"/>
      <c r="P58" s="275"/>
    </row>
    <row r="59" spans="1:17" x14ac:dyDescent="0.3">
      <c r="A59" s="38" t="s">
        <v>190</v>
      </c>
      <c r="B59" s="248"/>
      <c r="C59" s="248"/>
      <c r="D59" s="248"/>
      <c r="E59" s="315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</row>
  </sheetData>
  <mergeCells count="2">
    <mergeCell ref="D3:K3"/>
    <mergeCell ref="D42:K42"/>
  </mergeCells>
  <phoneticPr fontId="0" type="noConversion"/>
  <pageMargins left="0.75" right="0.75" top="1" bottom="1" header="0" footer="0"/>
  <pageSetup paperSize="9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849F-972E-4175-899C-D44C96093D52}">
  <dimension ref="A2:Q22"/>
  <sheetViews>
    <sheetView workbookViewId="0">
      <pane xSplit="1" ySplit="5" topLeftCell="J6" activePane="bottomRight" state="frozen"/>
      <selection pane="topRight" activeCell="B1" sqref="B1"/>
      <selection pane="bottomLeft" activeCell="A6" sqref="A6"/>
      <selection pane="bottomRight" activeCell="O17" sqref="O17"/>
    </sheetView>
  </sheetViews>
  <sheetFormatPr defaultColWidth="11" defaultRowHeight="13" x14ac:dyDescent="0.3"/>
  <cols>
    <col min="1" max="1" width="32.6640625" customWidth="1"/>
    <col min="2" max="15" width="11" customWidth="1"/>
    <col min="16" max="16" width="12.6640625" bestFit="1" customWidth="1"/>
  </cols>
  <sheetData>
    <row r="2" spans="1:17" x14ac:dyDescent="0.3">
      <c r="A2" s="43" t="s">
        <v>41</v>
      </c>
      <c r="B2" s="44"/>
      <c r="C2" s="44"/>
      <c r="D2" s="44"/>
      <c r="E2" s="45"/>
      <c r="F2" s="46"/>
      <c r="G2" s="46"/>
      <c r="H2" s="46"/>
      <c r="I2" s="46"/>
      <c r="J2" s="47"/>
      <c r="K2" s="47"/>
    </row>
    <row r="3" spans="1:17" x14ac:dyDescent="0.3">
      <c r="A3" s="48"/>
      <c r="B3" s="44"/>
      <c r="C3" s="44"/>
      <c r="D3" s="44"/>
      <c r="E3" s="45"/>
      <c r="F3" s="46"/>
      <c r="G3" s="46"/>
      <c r="H3" s="46"/>
      <c r="I3" s="46"/>
      <c r="J3" s="47"/>
      <c r="K3" s="47"/>
    </row>
    <row r="4" spans="1:17" x14ac:dyDescent="0.3">
      <c r="A4" s="843" t="s">
        <v>42</v>
      </c>
      <c r="B4" s="49"/>
      <c r="C4" s="50"/>
      <c r="D4" s="845" t="s">
        <v>23</v>
      </c>
      <c r="E4" s="845"/>
      <c r="F4" s="845"/>
      <c r="G4" s="845"/>
      <c r="H4" s="845"/>
      <c r="I4" s="845"/>
      <c r="J4" s="845"/>
      <c r="K4" s="845"/>
    </row>
    <row r="5" spans="1:17" x14ac:dyDescent="0.3">
      <c r="A5" s="844"/>
      <c r="B5" s="13">
        <v>1991</v>
      </c>
      <c r="C5" s="13">
        <v>1992</v>
      </c>
      <c r="D5" s="13">
        <v>1993</v>
      </c>
      <c r="E5" s="308">
        <v>1994</v>
      </c>
      <c r="F5" s="13">
        <v>1995</v>
      </c>
      <c r="G5" s="14">
        <v>1996</v>
      </c>
      <c r="H5" s="14">
        <v>1997</v>
      </c>
      <c r="I5" s="15" t="s">
        <v>587</v>
      </c>
      <c r="J5" s="15" t="s">
        <v>588</v>
      </c>
      <c r="K5" s="15" t="s">
        <v>585</v>
      </c>
      <c r="L5" s="15" t="s">
        <v>613</v>
      </c>
      <c r="M5" s="15" t="s">
        <v>615</v>
      </c>
      <c r="N5" s="15" t="s">
        <v>619</v>
      </c>
      <c r="O5" s="551" t="s">
        <v>774</v>
      </c>
    </row>
    <row r="6" spans="1:17" x14ac:dyDescent="0.3">
      <c r="A6" s="51"/>
      <c r="B6" s="13"/>
      <c r="C6" s="13"/>
      <c r="D6" s="13"/>
      <c r="E6" s="308"/>
      <c r="F6" s="13"/>
      <c r="G6" s="14"/>
      <c r="H6" s="14"/>
      <c r="I6" s="15"/>
      <c r="J6" s="15"/>
      <c r="K6" s="15"/>
    </row>
    <row r="7" spans="1:17" x14ac:dyDescent="0.3">
      <c r="A7" s="52" t="s">
        <v>43</v>
      </c>
      <c r="B7" s="53">
        <f>B8+B19</f>
        <v>3192.7927850000001</v>
      </c>
      <c r="C7" s="53">
        <f>C8+C19</f>
        <v>6058.8420000000006</v>
      </c>
      <c r="D7" s="54">
        <f>D8+D19</f>
        <v>9424.0717246000004</v>
      </c>
      <c r="E7" s="351">
        <v>14484.19368965825</v>
      </c>
      <c r="F7" s="588">
        <v>18455.822076245113</v>
      </c>
      <c r="G7" s="588">
        <v>21682.239924373203</v>
      </c>
      <c r="H7" s="588">
        <v>25132.339266321771</v>
      </c>
      <c r="I7" s="588">
        <v>26193.613005265499</v>
      </c>
      <c r="J7" s="588">
        <v>25481.972232814907</v>
      </c>
      <c r="K7" s="588">
        <v>27704.860833920258</v>
      </c>
      <c r="L7" s="588">
        <v>27059.028083815781</v>
      </c>
      <c r="M7" s="588">
        <v>28559.256810910862</v>
      </c>
      <c r="N7" s="588">
        <v>31551.12892523644</v>
      </c>
      <c r="O7" s="588">
        <v>35401.351547468097</v>
      </c>
    </row>
    <row r="8" spans="1:17" x14ac:dyDescent="0.3">
      <c r="A8" s="55" t="s">
        <v>44</v>
      </c>
      <c r="B8" s="56">
        <f>B9+B10+B11+B12+B17+B18</f>
        <v>2957.0620720000002</v>
      </c>
      <c r="C8" s="56">
        <f>C9+C10+C11+C12+C17+C18</f>
        <v>5415.938000000001</v>
      </c>
      <c r="D8" s="57">
        <f>D9+D10+D11+D12+D17+D18</f>
        <v>8478.3718246000008</v>
      </c>
      <c r="E8" s="302">
        <v>12978.744199658249</v>
      </c>
      <c r="F8" s="57">
        <v>16457.679556635114</v>
      </c>
      <c r="G8" s="57">
        <v>19255.842723714286</v>
      </c>
      <c r="H8" s="57">
        <v>22304.33286932177</v>
      </c>
      <c r="I8" s="57">
        <v>23143.813679985498</v>
      </c>
      <c r="J8" s="57">
        <v>22071.825715136907</v>
      </c>
      <c r="K8" s="57">
        <v>22769.423566369929</v>
      </c>
      <c r="L8" s="57">
        <v>23540.712714005771</v>
      </c>
      <c r="M8" s="57">
        <v>24061.617835462865</v>
      </c>
      <c r="N8" s="57">
        <v>27404.700331130149</v>
      </c>
      <c r="O8" s="60">
        <v>31141.777071422563</v>
      </c>
    </row>
    <row r="9" spans="1:17" x14ac:dyDescent="0.3">
      <c r="A9" s="58" t="s">
        <v>45</v>
      </c>
      <c r="B9" s="56">
        <v>249.58350899999999</v>
      </c>
      <c r="C9" s="56">
        <v>749.09</v>
      </c>
      <c r="D9" s="57">
        <v>1406.0356024</v>
      </c>
      <c r="E9" s="302">
        <v>2525.5826000000002</v>
      </c>
      <c r="F9" s="59">
        <v>3462.0676000000003</v>
      </c>
      <c r="G9" s="60">
        <v>4980.7620999999999</v>
      </c>
      <c r="H9" s="60">
        <v>5709.951266</v>
      </c>
      <c r="I9" s="60">
        <v>5861.2974321800002</v>
      </c>
      <c r="J9" s="60">
        <v>5071.7723946599999</v>
      </c>
      <c r="K9" s="60">
        <v>5129.5326442200003</v>
      </c>
      <c r="L9" s="60">
        <v>5630.33682202</v>
      </c>
      <c r="M9" s="60">
        <v>6011.336776529999</v>
      </c>
      <c r="N9" s="60">
        <v>7971.2351804383343</v>
      </c>
      <c r="O9" s="60">
        <v>9026.070755511666</v>
      </c>
    </row>
    <row r="10" spans="1:17" x14ac:dyDescent="0.3">
      <c r="A10" s="58" t="s">
        <v>46</v>
      </c>
      <c r="B10" s="56">
        <v>177.16200000000001</v>
      </c>
      <c r="C10" s="56">
        <v>201.27600000000001</v>
      </c>
      <c r="D10" s="57">
        <v>254.25</v>
      </c>
      <c r="E10" s="302">
        <v>85.401200000000003</v>
      </c>
      <c r="F10" s="59">
        <v>29.563600000000001</v>
      </c>
      <c r="G10" s="60">
        <v>2.5289000000000001</v>
      </c>
      <c r="H10" s="60">
        <v>3.1461270000000003</v>
      </c>
      <c r="I10" s="60">
        <v>1.32306846</v>
      </c>
      <c r="J10" s="60">
        <v>10.948527500000003</v>
      </c>
      <c r="K10" s="60">
        <v>0.19611299999999998</v>
      </c>
      <c r="L10" s="60">
        <v>1.5399999999999998E-4</v>
      </c>
      <c r="M10" s="60">
        <v>6.9002999999999998E-3</v>
      </c>
      <c r="N10" s="60">
        <v>9.6416666666666675E-5</v>
      </c>
      <c r="O10" s="60">
        <v>0</v>
      </c>
    </row>
    <row r="11" spans="1:17" x14ac:dyDescent="0.3">
      <c r="A11" s="58" t="s">
        <v>47</v>
      </c>
      <c r="B11" s="56">
        <v>335.55573971690188</v>
      </c>
      <c r="C11" s="56">
        <v>650.17455743342578</v>
      </c>
      <c r="D11" s="57">
        <v>1228.2490996326521</v>
      </c>
      <c r="E11" s="302">
        <v>1704.3993874393436</v>
      </c>
      <c r="F11" s="59">
        <v>2150.5622071218518</v>
      </c>
      <c r="G11" s="60">
        <v>2315.4452685903852</v>
      </c>
      <c r="H11" s="60">
        <v>2478.6851555059752</v>
      </c>
      <c r="I11" s="60">
        <v>2899.878624727547</v>
      </c>
      <c r="J11" s="60">
        <v>2856.8864726630854</v>
      </c>
      <c r="K11" s="60">
        <v>2921.0078150791469</v>
      </c>
      <c r="L11" s="60">
        <v>2786.3592634083457</v>
      </c>
      <c r="M11" s="60">
        <v>2482.8623499925843</v>
      </c>
      <c r="N11" s="60">
        <v>2549.6782657622598</v>
      </c>
      <c r="O11" s="60">
        <v>2743.1072205358801</v>
      </c>
      <c r="Q11" t="s">
        <v>722</v>
      </c>
    </row>
    <row r="12" spans="1:17" x14ac:dyDescent="0.3">
      <c r="A12" s="58" t="s">
        <v>48</v>
      </c>
      <c r="B12" s="56">
        <f t="shared" ref="B12:O12" si="0">B13+B14</f>
        <v>1961.119823283098</v>
      </c>
      <c r="C12" s="56">
        <f t="shared" si="0"/>
        <v>3444.5794425665745</v>
      </c>
      <c r="D12" s="57">
        <f t="shared" si="0"/>
        <v>5145.5601225673481</v>
      </c>
      <c r="E12" s="302">
        <f t="shared" si="0"/>
        <v>8229.0996665289076</v>
      </c>
      <c r="F12" s="57">
        <f t="shared" si="0"/>
        <v>10142.355662513259</v>
      </c>
      <c r="G12" s="57">
        <f t="shared" si="0"/>
        <v>11352.368415123899</v>
      </c>
      <c r="H12" s="57">
        <f t="shared" si="0"/>
        <v>13724.342125415795</v>
      </c>
      <c r="I12" s="57">
        <f t="shared" si="0"/>
        <v>14482.793079347954</v>
      </c>
      <c r="J12" s="57">
        <f t="shared" si="0"/>
        <v>14491.115761663821</v>
      </c>
      <c r="K12" s="57">
        <f t="shared" si="0"/>
        <v>15437.347462491962</v>
      </c>
      <c r="L12" s="57">
        <f t="shared" si="0"/>
        <v>15375.685505100517</v>
      </c>
      <c r="M12" s="57">
        <f t="shared" si="0"/>
        <v>16797.62434090695</v>
      </c>
      <c r="N12" s="57">
        <f t="shared" si="0"/>
        <v>18634.890306124835</v>
      </c>
      <c r="O12" s="57">
        <f t="shared" si="0"/>
        <v>20673.218921436986</v>
      </c>
      <c r="Q12" s="299">
        <f>7888682726/(E12*1000000)</f>
        <v>0.95863254130782716</v>
      </c>
    </row>
    <row r="13" spans="1:17" x14ac:dyDescent="0.3">
      <c r="A13" s="61" t="s">
        <v>89</v>
      </c>
      <c r="B13" s="56">
        <v>765.04859512009864</v>
      </c>
      <c r="C13" s="56">
        <v>1701.5121481905594</v>
      </c>
      <c r="D13" s="57">
        <v>3534.3699328133475</v>
      </c>
      <c r="E13" s="302">
        <v>5960.9541419027164</v>
      </c>
      <c r="F13" s="57">
        <v>7655.3254951425888</v>
      </c>
      <c r="G13" s="59">
        <v>8589.4614268331206</v>
      </c>
      <c r="H13" s="60">
        <v>10357.007361174263</v>
      </c>
      <c r="I13" s="60">
        <v>11054.044706249226</v>
      </c>
      <c r="J13" s="60">
        <v>11042.616260506316</v>
      </c>
      <c r="K13" s="57">
        <v>12013.392442671951</v>
      </c>
      <c r="L13" s="57">
        <v>11814.623800404974</v>
      </c>
      <c r="M13" s="57">
        <v>12613.447876617651</v>
      </c>
      <c r="N13" s="57">
        <v>14110.248585260209</v>
      </c>
      <c r="O13" s="60">
        <v>16205.149799988876</v>
      </c>
      <c r="P13" s="735">
        <f>+Q12*O13</f>
        <v>15534.783935037363</v>
      </c>
    </row>
    <row r="14" spans="1:17" x14ac:dyDescent="0.3">
      <c r="A14" s="61" t="s">
        <v>90</v>
      </c>
      <c r="B14" s="56">
        <f>B15+B16</f>
        <v>1196.0712281629994</v>
      </c>
      <c r="C14" s="56">
        <f t="shared" ref="C14:O14" si="1">C15+C16</f>
        <v>1743.0672943760151</v>
      </c>
      <c r="D14" s="56">
        <f t="shared" si="1"/>
        <v>1611.1901897540008</v>
      </c>
      <c r="E14" s="589">
        <f t="shared" si="1"/>
        <v>2268.1455246261912</v>
      </c>
      <c r="F14" s="56">
        <f t="shared" si="1"/>
        <v>2487.0301673706708</v>
      </c>
      <c r="G14" s="56">
        <f t="shared" si="1"/>
        <v>2762.9069882907793</v>
      </c>
      <c r="H14" s="56">
        <f t="shared" si="1"/>
        <v>3367.334764241532</v>
      </c>
      <c r="I14" s="56">
        <f t="shared" si="1"/>
        <v>3428.7483730987274</v>
      </c>
      <c r="J14" s="56">
        <f t="shared" si="1"/>
        <v>3448.4995011575052</v>
      </c>
      <c r="K14" s="56">
        <f t="shared" si="1"/>
        <v>3423.9550198200104</v>
      </c>
      <c r="L14" s="56">
        <f t="shared" si="1"/>
        <v>3561.0617046955431</v>
      </c>
      <c r="M14" s="56">
        <f t="shared" si="1"/>
        <v>4184.1764642893004</v>
      </c>
      <c r="N14" s="56">
        <f t="shared" si="1"/>
        <v>4524.6417208646253</v>
      </c>
      <c r="O14" s="60">
        <f t="shared" si="1"/>
        <v>4468.0691214481103</v>
      </c>
    </row>
    <row r="15" spans="1:17" x14ac:dyDescent="0.3">
      <c r="A15" s="62" t="s">
        <v>91</v>
      </c>
      <c r="B15" s="56">
        <v>781.48199999999997</v>
      </c>
      <c r="C15" s="56">
        <v>994.95299999999997</v>
      </c>
      <c r="D15" s="57">
        <v>991.26800000000003</v>
      </c>
      <c r="E15" s="302">
        <v>1288.5185678051055</v>
      </c>
      <c r="F15" s="59">
        <v>1493.9709366435336</v>
      </c>
      <c r="G15" s="60">
        <v>1600.5598607056913</v>
      </c>
      <c r="H15" s="60">
        <v>1932.2418197445522</v>
      </c>
      <c r="I15" s="60">
        <v>2001.6159695593969</v>
      </c>
      <c r="J15" s="60">
        <v>2093.5316699671653</v>
      </c>
      <c r="K15" s="60">
        <v>2120.1143228447636</v>
      </c>
      <c r="L15" s="60">
        <v>2320.5009322073702</v>
      </c>
      <c r="M15" s="60">
        <v>3002.9860155995643</v>
      </c>
      <c r="N15" s="60">
        <v>3284.8737244132744</v>
      </c>
      <c r="O15" s="60">
        <v>3176.5113916327082</v>
      </c>
    </row>
    <row r="16" spans="1:17" x14ac:dyDescent="0.3">
      <c r="A16" s="62" t="s">
        <v>92</v>
      </c>
      <c r="B16" s="56">
        <v>414.5892281629994</v>
      </c>
      <c r="C16" s="56">
        <v>748.11429437601498</v>
      </c>
      <c r="D16" s="57">
        <v>619.92218975400078</v>
      </c>
      <c r="E16" s="302">
        <v>979.62695682108574</v>
      </c>
      <c r="F16" s="59">
        <v>993.05923072713711</v>
      </c>
      <c r="G16" s="60">
        <v>1162.3471275850879</v>
      </c>
      <c r="H16" s="60">
        <v>1435.09294449698</v>
      </c>
      <c r="I16" s="60">
        <v>1427.1324035393304</v>
      </c>
      <c r="J16" s="60">
        <v>1354.9678311903399</v>
      </c>
      <c r="K16" s="60">
        <v>1303.8406969752471</v>
      </c>
      <c r="L16" s="60">
        <v>1240.5607724881729</v>
      </c>
      <c r="M16" s="60">
        <v>1181.1904486897361</v>
      </c>
      <c r="N16" s="60">
        <v>1239.7679964513509</v>
      </c>
      <c r="O16" s="60">
        <v>1291.5577298154026</v>
      </c>
    </row>
    <row r="17" spans="1:15" x14ac:dyDescent="0.3">
      <c r="A17" s="58" t="s">
        <v>93</v>
      </c>
      <c r="B17" s="56">
        <v>311.685</v>
      </c>
      <c r="C17" s="56">
        <v>442.03199999999998</v>
      </c>
      <c r="D17" s="57">
        <v>528.22199999999998</v>
      </c>
      <c r="E17" s="302">
        <v>927.87530000000004</v>
      </c>
      <c r="F17" s="59">
        <v>1359.6278279999999</v>
      </c>
      <c r="G17" s="60">
        <v>1436.2872650000002</v>
      </c>
      <c r="H17" s="60">
        <v>1909.17019177</v>
      </c>
      <c r="I17" s="60">
        <v>1788.5054875799999</v>
      </c>
      <c r="J17" s="60">
        <v>1786.5789892499999</v>
      </c>
      <c r="K17" s="60">
        <v>2053.1372581588234</v>
      </c>
      <c r="L17" s="60">
        <v>2601.5423481073531</v>
      </c>
      <c r="M17" s="60">
        <v>1738.0110917099998</v>
      </c>
      <c r="N17" s="60">
        <v>1414.3431988297223</v>
      </c>
      <c r="O17" s="60">
        <v>2161.650888925139</v>
      </c>
    </row>
    <row r="18" spans="1:15" x14ac:dyDescent="0.3">
      <c r="A18" s="58" t="s">
        <v>94</v>
      </c>
      <c r="B18" s="56">
        <v>-78.043999999999997</v>
      </c>
      <c r="C18" s="56">
        <v>-71.213999999999999</v>
      </c>
      <c r="D18" s="57">
        <v>-83.944999999999993</v>
      </c>
      <c r="E18" s="302">
        <v>-493.61395431</v>
      </c>
      <c r="F18" s="59">
        <v>-686.49734100000001</v>
      </c>
      <c r="G18" s="60">
        <v>-831.54922499999998</v>
      </c>
      <c r="H18" s="60">
        <v>-1520.9619963700002</v>
      </c>
      <c r="I18" s="60">
        <v>-1889.98401231</v>
      </c>
      <c r="J18" s="60">
        <v>-2145.4764306000002</v>
      </c>
      <c r="K18" s="60">
        <v>-2771.79772658</v>
      </c>
      <c r="L18" s="60">
        <v>-2853.2113786304453</v>
      </c>
      <c r="M18" s="60">
        <v>-2968.2236239766662</v>
      </c>
      <c r="N18" s="60">
        <v>-3165.4467164416669</v>
      </c>
      <c r="O18" s="60">
        <v>-3462.2707149871121</v>
      </c>
    </row>
    <row r="19" spans="1:15" x14ac:dyDescent="0.3">
      <c r="A19" s="55" t="s">
        <v>95</v>
      </c>
      <c r="B19" s="63">
        <v>235.73071300000001</v>
      </c>
      <c r="C19" s="63">
        <v>642.904</v>
      </c>
      <c r="D19" s="59">
        <v>945.69989999999996</v>
      </c>
      <c r="E19" s="349">
        <v>1505.4494900000002</v>
      </c>
      <c r="F19" s="59">
        <v>1998.1425196100004</v>
      </c>
      <c r="G19" s="64">
        <v>2426.3972006589179</v>
      </c>
      <c r="H19" s="64">
        <v>2828.0063970000001</v>
      </c>
      <c r="I19" s="64">
        <v>3049.7993252800006</v>
      </c>
      <c r="J19" s="64">
        <v>3410.1465176780002</v>
      </c>
      <c r="K19" s="64">
        <v>4935.4372675503291</v>
      </c>
      <c r="L19" s="64">
        <v>3518.31536981001</v>
      </c>
      <c r="M19" s="64">
        <v>4497.638975447996</v>
      </c>
      <c r="N19" s="64">
        <v>4146.4285941062926</v>
      </c>
      <c r="O19" s="60">
        <v>4259.5744760455364</v>
      </c>
    </row>
    <row r="20" spans="1:15" x14ac:dyDescent="0.3">
      <c r="A20" s="65"/>
      <c r="B20" s="63"/>
      <c r="C20" s="63"/>
      <c r="D20" s="63"/>
      <c r="E20" s="63"/>
      <c r="F20" s="63"/>
      <c r="G20" s="66"/>
      <c r="H20" s="66"/>
      <c r="I20" s="66"/>
      <c r="J20" s="66"/>
      <c r="K20" s="66"/>
    </row>
    <row r="21" spans="1:15" x14ac:dyDescent="0.3">
      <c r="A21" s="67"/>
      <c r="B21" s="68"/>
      <c r="C21" s="68"/>
      <c r="D21" s="425" t="s">
        <v>521</v>
      </c>
      <c r="E21" s="428">
        <v>848550000</v>
      </c>
      <c r="F21" s="846" t="s">
        <v>522</v>
      </c>
      <c r="G21" s="847"/>
      <c r="H21" s="69"/>
      <c r="I21" s="70"/>
      <c r="J21" s="70"/>
      <c r="K21" s="70"/>
      <c r="N21" s="383">
        <f>+$E21/$E19*N19</f>
        <v>2337143827.7407064</v>
      </c>
      <c r="O21" s="383">
        <f>+$E21/$E19*O19</f>
        <v>2400918759.2527199</v>
      </c>
    </row>
    <row r="22" spans="1:15" x14ac:dyDescent="0.3">
      <c r="A22" s="38" t="s">
        <v>96</v>
      </c>
      <c r="B22" s="2"/>
      <c r="C22" s="2"/>
      <c r="D22" s="426" t="s">
        <v>564</v>
      </c>
      <c r="E22" s="427"/>
      <c r="F22" s="848"/>
      <c r="G22" s="849"/>
      <c r="H22" s="2"/>
      <c r="I22" s="2"/>
      <c r="J22" s="2"/>
      <c r="K22" s="2"/>
    </row>
  </sheetData>
  <mergeCells count="3">
    <mergeCell ref="A4:A5"/>
    <mergeCell ref="D4:K4"/>
    <mergeCell ref="F21:G22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D539C-EC14-4B60-B2EE-F125F77B61D9}">
  <dimension ref="A1:Z84"/>
  <sheetViews>
    <sheetView workbookViewId="0">
      <pane xSplit="1" ySplit="7" topLeftCell="D78" activePane="bottomRight" state="frozen"/>
      <selection pane="topRight" activeCell="B1" sqref="B1"/>
      <selection pane="bottomLeft" activeCell="A8" sqref="A8"/>
      <selection pane="bottomRight" activeCell="D80" sqref="D80"/>
    </sheetView>
  </sheetViews>
  <sheetFormatPr defaultColWidth="11" defaultRowHeight="13" x14ac:dyDescent="0.3"/>
  <cols>
    <col min="1" max="1" width="35.44140625" customWidth="1"/>
    <col min="2" max="4" width="11" customWidth="1"/>
    <col min="5" max="5" width="12" style="299" customWidth="1"/>
  </cols>
  <sheetData>
    <row r="1" spans="1:26" x14ac:dyDescent="0.3">
      <c r="M1" s="565" t="s">
        <v>598</v>
      </c>
      <c r="N1" s="566"/>
      <c r="O1" s="566"/>
      <c r="P1" s="566"/>
      <c r="Q1" s="566"/>
      <c r="R1" s="566"/>
      <c r="S1" s="566"/>
      <c r="T1" s="566"/>
      <c r="U1" s="566"/>
      <c r="V1" s="566"/>
      <c r="W1" s="566"/>
      <c r="X1" s="567"/>
      <c r="Y1" s="567"/>
      <c r="Z1" s="567"/>
    </row>
    <row r="2" spans="1:26" x14ac:dyDescent="0.3">
      <c r="A2" s="1" t="s">
        <v>20</v>
      </c>
      <c r="B2" s="2"/>
      <c r="C2" s="2"/>
      <c r="D2" s="2"/>
      <c r="E2" s="434"/>
      <c r="F2" s="2"/>
      <c r="G2" s="2"/>
      <c r="H2" s="2"/>
      <c r="I2" s="2"/>
      <c r="J2" s="2"/>
      <c r="K2" s="2"/>
      <c r="M2" s="565"/>
      <c r="N2" s="566"/>
      <c r="O2" s="566"/>
      <c r="P2" s="566"/>
      <c r="Q2" s="566"/>
      <c r="R2" s="566"/>
      <c r="S2" s="566"/>
      <c r="T2" s="566"/>
      <c r="U2" s="566"/>
      <c r="V2" s="566"/>
      <c r="W2" s="566"/>
      <c r="X2" s="567"/>
      <c r="Y2" s="567"/>
      <c r="Z2" s="567"/>
    </row>
    <row r="3" spans="1:26" ht="15.5" x14ac:dyDescent="0.35">
      <c r="A3" s="3"/>
      <c r="B3" s="2"/>
      <c r="C3" s="2"/>
      <c r="D3" s="2"/>
      <c r="E3" s="434"/>
      <c r="F3" s="2"/>
      <c r="G3" s="2"/>
      <c r="H3" s="2"/>
      <c r="I3" s="2"/>
      <c r="J3" s="2"/>
      <c r="K3" s="2"/>
      <c r="M3" s="568"/>
      <c r="N3" s="568"/>
      <c r="O3" s="568"/>
      <c r="P3" s="568"/>
      <c r="Q3" s="570" t="s">
        <v>583</v>
      </c>
      <c r="R3" s="570"/>
      <c r="S3" s="570"/>
      <c r="T3" s="570"/>
      <c r="U3" s="570"/>
      <c r="V3" s="570"/>
      <c r="W3" s="570"/>
      <c r="X3" s="570"/>
      <c r="Y3" s="570"/>
      <c r="Z3" s="570"/>
    </row>
    <row r="4" spans="1:26" x14ac:dyDescent="0.3">
      <c r="A4" s="4" t="s">
        <v>21</v>
      </c>
      <c r="B4" s="5"/>
      <c r="C4" s="5"/>
      <c r="D4" s="5"/>
      <c r="E4" s="435"/>
      <c r="F4" s="2"/>
      <c r="G4" s="2"/>
      <c r="H4" s="2"/>
      <c r="I4" s="2"/>
      <c r="J4" s="2"/>
      <c r="K4" s="2"/>
      <c r="M4" s="568"/>
      <c r="N4" s="568"/>
      <c r="O4" s="568"/>
      <c r="P4" s="568"/>
      <c r="Q4" s="570"/>
      <c r="R4" s="570"/>
      <c r="S4" s="570"/>
      <c r="T4" s="570"/>
      <c r="U4" s="570"/>
      <c r="V4" s="570"/>
      <c r="W4" s="570"/>
      <c r="X4" s="570"/>
      <c r="Y4" s="570"/>
      <c r="Z4" s="570"/>
    </row>
    <row r="5" spans="1:26" x14ac:dyDescent="0.3">
      <c r="A5" s="6"/>
      <c r="B5" s="5"/>
      <c r="C5" s="5"/>
      <c r="D5" s="5"/>
      <c r="E5" s="435"/>
      <c r="F5" s="2"/>
      <c r="G5" s="2"/>
      <c r="H5" s="2"/>
      <c r="I5" s="2"/>
      <c r="J5" s="2"/>
      <c r="K5" s="2"/>
      <c r="M5" s="568"/>
      <c r="N5" s="568"/>
      <c r="O5" s="568"/>
      <c r="P5" s="568"/>
      <c r="Q5" s="570"/>
      <c r="R5" s="570"/>
      <c r="S5" s="570"/>
      <c r="T5" s="570"/>
      <c r="U5" s="570"/>
      <c r="V5" s="570"/>
      <c r="W5" s="570"/>
      <c r="X5" s="570"/>
      <c r="Y5" s="570"/>
      <c r="Z5" s="570"/>
    </row>
    <row r="6" spans="1:26" x14ac:dyDescent="0.3">
      <c r="A6" s="7" t="s">
        <v>22</v>
      </c>
      <c r="B6" s="8"/>
      <c r="C6" s="9"/>
      <c r="D6" s="850" t="s">
        <v>23</v>
      </c>
      <c r="E6" s="850"/>
      <c r="F6" s="850"/>
      <c r="G6" s="850"/>
      <c r="H6" s="850"/>
      <c r="I6" s="850"/>
      <c r="J6" s="850"/>
      <c r="K6" s="850"/>
      <c r="L6" s="299"/>
      <c r="M6" s="597"/>
      <c r="N6" s="597"/>
      <c r="O6" s="597"/>
      <c r="P6" s="584"/>
      <c r="Q6" s="570"/>
      <c r="R6" s="570"/>
      <c r="S6" s="570"/>
      <c r="T6" s="570"/>
      <c r="U6" s="570"/>
      <c r="V6" s="570"/>
      <c r="W6" s="570"/>
      <c r="X6" s="570"/>
      <c r="Y6" s="570"/>
      <c r="Z6" s="570"/>
    </row>
    <row r="7" spans="1:26" x14ac:dyDescent="0.3">
      <c r="A7" s="10"/>
      <c r="B7" s="11">
        <v>1991</v>
      </c>
      <c r="C7" s="12">
        <v>1992</v>
      </c>
      <c r="D7" s="13">
        <v>1993</v>
      </c>
      <c r="E7" s="308" t="s">
        <v>584</v>
      </c>
      <c r="F7" s="13">
        <v>1995</v>
      </c>
      <c r="G7" s="14">
        <v>1996</v>
      </c>
      <c r="H7" s="14">
        <v>1997</v>
      </c>
      <c r="I7" s="15" t="s">
        <v>599</v>
      </c>
      <c r="J7" s="15" t="s">
        <v>600</v>
      </c>
      <c r="K7" s="15" t="s">
        <v>585</v>
      </c>
      <c r="L7" s="15" t="s">
        <v>601</v>
      </c>
      <c r="M7" s="15" t="s">
        <v>586</v>
      </c>
      <c r="N7" s="15" t="s">
        <v>602</v>
      </c>
      <c r="O7" s="551" t="s">
        <v>774</v>
      </c>
      <c r="P7" s="584"/>
      <c r="Q7" s="574" t="s">
        <v>584</v>
      </c>
      <c r="R7" s="572">
        <v>1995</v>
      </c>
      <c r="S7" s="572">
        <v>1996</v>
      </c>
      <c r="T7" s="572">
        <v>1997</v>
      </c>
      <c r="U7" s="575" t="s">
        <v>599</v>
      </c>
      <c r="V7" s="575" t="s">
        <v>600</v>
      </c>
      <c r="W7" s="573" t="s">
        <v>585</v>
      </c>
      <c r="X7" s="573" t="s">
        <v>601</v>
      </c>
      <c r="Y7" s="573" t="s">
        <v>586</v>
      </c>
      <c r="Z7" s="573" t="s">
        <v>602</v>
      </c>
    </row>
    <row r="8" spans="1:26" x14ac:dyDescent="0.3">
      <c r="A8" s="10"/>
      <c r="B8" s="16"/>
      <c r="C8" s="16"/>
      <c r="D8" s="13"/>
      <c r="E8" s="308"/>
      <c r="F8" s="13"/>
      <c r="G8" s="14"/>
      <c r="H8" s="14"/>
      <c r="I8" s="15"/>
      <c r="J8" s="15"/>
      <c r="K8" s="15"/>
      <c r="L8" s="15" t="s">
        <v>591</v>
      </c>
      <c r="M8" s="15" t="s">
        <v>591</v>
      </c>
      <c r="N8" s="15" t="s">
        <v>591</v>
      </c>
      <c r="O8" s="551"/>
      <c r="P8" s="584"/>
      <c r="Q8" s="571"/>
      <c r="R8" s="571"/>
      <c r="S8" s="571"/>
      <c r="T8" s="571"/>
      <c r="U8" s="571"/>
      <c r="V8" s="571"/>
      <c r="W8" s="576"/>
      <c r="X8" s="576" t="s">
        <v>591</v>
      </c>
      <c r="Y8" s="576" t="s">
        <v>591</v>
      </c>
      <c r="Z8" s="576" t="s">
        <v>591</v>
      </c>
    </row>
    <row r="9" spans="1:26" x14ac:dyDescent="0.3">
      <c r="A9" s="10" t="s">
        <v>24</v>
      </c>
      <c r="B9" s="18">
        <v>3762.3657106312176</v>
      </c>
      <c r="C9" s="18">
        <v>6961.8547509798918</v>
      </c>
      <c r="D9" s="19">
        <v>10710.514391019524</v>
      </c>
      <c r="E9" s="436">
        <v>16287.635423726395</v>
      </c>
      <c r="F9" s="20">
        <v>20589.746015495075</v>
      </c>
      <c r="G9" s="20">
        <v>24311.007015377039</v>
      </c>
      <c r="H9" s="20">
        <v>28497.434544156629</v>
      </c>
      <c r="I9" s="20">
        <v>29805.723896496987</v>
      </c>
      <c r="J9" s="20">
        <v>29272.57851365743</v>
      </c>
      <c r="K9" s="20">
        <v>31580.606872321659</v>
      </c>
      <c r="L9" s="20">
        <v>30791.349844298074</v>
      </c>
      <c r="M9" s="20">
        <v>32307.963462753694</v>
      </c>
      <c r="N9" s="20">
        <v>35254.874160115316</v>
      </c>
      <c r="O9" s="20"/>
      <c r="P9" s="584"/>
      <c r="Q9" s="569">
        <v>16.522679796532763</v>
      </c>
      <c r="R9" s="569">
        <v>17.036285688693209</v>
      </c>
      <c r="S9" s="569">
        <v>17.754485929730642</v>
      </c>
      <c r="T9" s="569">
        <v>18.119556093576762</v>
      </c>
      <c r="U9" s="569">
        <v>17.960782736123829</v>
      </c>
      <c r="V9" s="569">
        <v>16.82743722745089</v>
      </c>
      <c r="W9" s="569">
        <v>17.044673637161051</v>
      </c>
      <c r="X9" s="569">
        <v>16.363403495846747</v>
      </c>
      <c r="Y9" s="569">
        <v>16.281225532970456</v>
      </c>
      <c r="Z9" s="569">
        <v>16.62043127826951</v>
      </c>
    </row>
    <row r="10" spans="1:26" x14ac:dyDescent="0.3">
      <c r="A10" s="10" t="s">
        <v>25</v>
      </c>
      <c r="B10" s="18">
        <f>B11+B12</f>
        <v>3336.1930418654729</v>
      </c>
      <c r="C10" s="18">
        <f>C11+C12</f>
        <v>6684.7946087911241</v>
      </c>
      <c r="D10" s="19">
        <f>D11+D12</f>
        <v>10182.035311918225</v>
      </c>
      <c r="E10" s="436">
        <v>16059.30371123341</v>
      </c>
      <c r="F10" s="19">
        <v>20531.147903094752</v>
      </c>
      <c r="G10" s="19">
        <v>23018.943459182141</v>
      </c>
      <c r="H10" s="19">
        <v>26441.070144185443</v>
      </c>
      <c r="I10" s="19">
        <v>28300.285304682671</v>
      </c>
      <c r="J10" s="19">
        <v>31246.486250841692</v>
      </c>
      <c r="K10" s="19">
        <v>32949.124660679568</v>
      </c>
      <c r="L10" s="19">
        <v>32013.067589865906</v>
      </c>
      <c r="M10" s="19">
        <v>32863.580195564871</v>
      </c>
      <c r="N10" s="19">
        <v>34945.56899226745</v>
      </c>
      <c r="O10" s="19"/>
      <c r="P10" s="584"/>
      <c r="Q10" s="569">
        <v>16.291053064059373</v>
      </c>
      <c r="R10" s="569">
        <v>16.987800671786307</v>
      </c>
      <c r="S10" s="569">
        <v>16.810883543606931</v>
      </c>
      <c r="T10" s="569">
        <v>16.812055587298648</v>
      </c>
      <c r="U10" s="569">
        <v>17.05361283936011</v>
      </c>
      <c r="V10" s="569">
        <v>17.962144527825902</v>
      </c>
      <c r="W10" s="569">
        <v>17.783289559379238</v>
      </c>
      <c r="X10" s="569">
        <v>17.012659229351545</v>
      </c>
      <c r="Y10" s="569">
        <v>16.561222176745908</v>
      </c>
      <c r="Z10" s="569">
        <v>16.47461356061488</v>
      </c>
    </row>
    <row r="11" spans="1:26" x14ac:dyDescent="0.3">
      <c r="A11" s="10" t="s">
        <v>26</v>
      </c>
      <c r="B11" s="18">
        <v>2757.4540065490473</v>
      </c>
      <c r="C11" s="18">
        <v>5194.5541143509145</v>
      </c>
      <c r="D11" s="19">
        <v>7557.9854616571001</v>
      </c>
      <c r="E11" s="436">
        <v>11555.442467805949</v>
      </c>
      <c r="F11" s="20">
        <v>15364.899462473892</v>
      </c>
      <c r="G11" s="21">
        <v>17801.341937487217</v>
      </c>
      <c r="H11" s="21">
        <v>20504.556557729007</v>
      </c>
      <c r="I11" s="21">
        <v>22537.854949573339</v>
      </c>
      <c r="J11" s="21">
        <v>25053.377057834321</v>
      </c>
      <c r="K11" s="21">
        <v>27398.758847620367</v>
      </c>
      <c r="L11" s="21">
        <v>27653.521597845011</v>
      </c>
      <c r="M11" s="21">
        <v>28800.67729378795</v>
      </c>
      <c r="N11" s="21">
        <v>30734.37994468155</v>
      </c>
      <c r="O11" s="21"/>
      <c r="P11" s="585"/>
      <c r="Q11" s="578">
        <v>11.722197288667733</v>
      </c>
      <c r="R11" s="578">
        <v>12.713163951792435</v>
      </c>
      <c r="S11" s="578">
        <v>13.000435348463048</v>
      </c>
      <c r="T11" s="578">
        <v>13.03743542759959</v>
      </c>
      <c r="U11" s="578">
        <v>13.581200627545737</v>
      </c>
      <c r="V11" s="578">
        <v>14.402015510170065</v>
      </c>
      <c r="W11" s="578">
        <v>14.787648144604386</v>
      </c>
      <c r="X11" s="578">
        <v>14.695871869041991</v>
      </c>
      <c r="Y11" s="578">
        <v>14.51376912268231</v>
      </c>
      <c r="Z11" s="578">
        <v>14.489305717865975</v>
      </c>
    </row>
    <row r="12" spans="1:26" x14ac:dyDescent="0.3">
      <c r="A12" s="10" t="s">
        <v>27</v>
      </c>
      <c r="B12" s="18">
        <v>578.73903531642543</v>
      </c>
      <c r="C12" s="18">
        <v>1490.2404944402094</v>
      </c>
      <c r="D12" s="19">
        <v>2624.0498502611258</v>
      </c>
      <c r="E12" s="436">
        <v>4503.8612434274592</v>
      </c>
      <c r="F12" s="20">
        <v>5166.2484406208596</v>
      </c>
      <c r="G12" s="21">
        <v>5217.6015216949236</v>
      </c>
      <c r="H12" s="21">
        <v>5936.5135864564372</v>
      </c>
      <c r="I12" s="21">
        <v>5762.4303551093335</v>
      </c>
      <c r="J12" s="21">
        <v>6193.1091930073717</v>
      </c>
      <c r="K12" s="21">
        <v>5550.3658130591984</v>
      </c>
      <c r="L12" s="21">
        <v>4359.545992020895</v>
      </c>
      <c r="M12" s="21">
        <v>4062.9029017769199</v>
      </c>
      <c r="N12" s="21">
        <v>4211.1890475859</v>
      </c>
      <c r="O12" s="21"/>
      <c r="P12" s="586"/>
      <c r="Q12" s="578">
        <v>4.5688557753916399</v>
      </c>
      <c r="R12" s="578">
        <v>4.2746367199938717</v>
      </c>
      <c r="S12" s="578">
        <v>3.810448195143882</v>
      </c>
      <c r="T12" s="578">
        <v>3.7746201596990585</v>
      </c>
      <c r="U12" s="578">
        <v>3.4724122118143739</v>
      </c>
      <c r="V12" s="578">
        <v>3.5601290176558371</v>
      </c>
      <c r="W12" s="578">
        <v>2.9956414147748518</v>
      </c>
      <c r="X12" s="578">
        <v>2.3167873603095557</v>
      </c>
      <c r="Y12" s="578">
        <v>2.0474530540635962</v>
      </c>
      <c r="Z12" s="578">
        <v>1.9853078427489055</v>
      </c>
    </row>
    <row r="13" spans="1:26" x14ac:dyDescent="0.3">
      <c r="A13" s="10" t="s">
        <v>28</v>
      </c>
      <c r="B13" s="18">
        <v>23.491453160760518</v>
      </c>
      <c r="C13" s="18">
        <v>27.926023592485247</v>
      </c>
      <c r="D13" s="19">
        <v>-58.257352982474565</v>
      </c>
      <c r="E13" s="436">
        <v>323.76092548204394</v>
      </c>
      <c r="F13" s="20">
        <v>260.16996066924969</v>
      </c>
      <c r="G13" s="21">
        <v>578.92027088446389</v>
      </c>
      <c r="H13" s="21">
        <v>196.11678540053097</v>
      </c>
      <c r="I13" s="21">
        <v>532.51411314261497</v>
      </c>
      <c r="J13" s="21">
        <v>539.10524999999984</v>
      </c>
      <c r="K13" s="21">
        <v>535.32820020951374</v>
      </c>
      <c r="L13" s="21">
        <v>291.53902945000021</v>
      </c>
      <c r="M13" s="21">
        <v>371.83619036827741</v>
      </c>
      <c r="N13" s="21">
        <v>361.8421088911</v>
      </c>
      <c r="O13" s="21"/>
      <c r="P13" s="584"/>
      <c r="Q13" s="569">
        <v>0.3284330698227923</v>
      </c>
      <c r="R13" s="569">
        <v>0.21526879322560888</v>
      </c>
      <c r="S13" s="569">
        <v>0.42278922454149342</v>
      </c>
      <c r="T13" s="569">
        <v>0.12469715785997054</v>
      </c>
      <c r="U13" s="569">
        <v>0.32089038747346965</v>
      </c>
      <c r="V13" s="569">
        <v>0.30990641118723761</v>
      </c>
      <c r="W13" s="569">
        <v>0.28892714121136776</v>
      </c>
      <c r="X13" s="569">
        <v>0.15493217406190826</v>
      </c>
      <c r="Y13" s="569">
        <v>0.18738255921595828</v>
      </c>
      <c r="Z13" s="569">
        <v>0.17058554448656607</v>
      </c>
    </row>
    <row r="14" spans="1:26" x14ac:dyDescent="0.3">
      <c r="A14" s="22" t="s">
        <v>29</v>
      </c>
      <c r="B14" s="18">
        <f>B9-B10+B13</f>
        <v>449.66412192650517</v>
      </c>
      <c r="C14" s="18">
        <f>C9-C10+C13</f>
        <v>304.98616578125296</v>
      </c>
      <c r="D14" s="19">
        <f>D9-D10+D13</f>
        <v>470.22172611882377</v>
      </c>
      <c r="E14" s="436">
        <v>552.09263797502933</v>
      </c>
      <c r="F14" s="19">
        <v>318.76807306957255</v>
      </c>
      <c r="G14" s="19">
        <v>1870.9838270793623</v>
      </c>
      <c r="H14" s="19">
        <v>2252.4811853717169</v>
      </c>
      <c r="I14" s="19">
        <v>2037.952704956931</v>
      </c>
      <c r="J14" s="19">
        <v>-1434.8024871842615</v>
      </c>
      <c r="K14" s="19">
        <v>-833.18958814839527</v>
      </c>
      <c r="L14" s="19">
        <v>-930.17871611783175</v>
      </c>
      <c r="M14" s="19">
        <v>-183.7805424428995</v>
      </c>
      <c r="N14" s="19">
        <v>671.14727673896596</v>
      </c>
      <c r="O14" s="19"/>
      <c r="P14" s="584"/>
      <c r="Q14" s="569">
        <v>0.56005980229618191</v>
      </c>
      <c r="R14" s="569">
        <v>0.26375381013250893</v>
      </c>
      <c r="S14" s="569">
        <v>1.3663916106652045</v>
      </c>
      <c r="T14" s="569">
        <v>1.4321976641380851</v>
      </c>
      <c r="U14" s="569">
        <v>1.2280602842371906</v>
      </c>
      <c r="V14" s="569">
        <v>-0.82480088918777383</v>
      </c>
      <c r="W14" s="569">
        <v>-0.44968878100682302</v>
      </c>
      <c r="X14" s="569">
        <v>-0.49432355944289219</v>
      </c>
      <c r="Y14" s="569">
        <v>-9.2614084559493465E-2</v>
      </c>
      <c r="Z14" s="569">
        <v>0.31640326214119219</v>
      </c>
    </row>
    <row r="15" spans="1:26" x14ac:dyDescent="0.3">
      <c r="A15" s="22" t="s">
        <v>30</v>
      </c>
      <c r="B15" s="18">
        <v>1039.9900348442184</v>
      </c>
      <c r="C15" s="18">
        <v>1998.2287157113035</v>
      </c>
      <c r="D15" s="19">
        <v>2888.2543797135304</v>
      </c>
      <c r="E15" s="436">
        <v>3569.1560767051756</v>
      </c>
      <c r="F15" s="19">
        <v>4046.5486466839502</v>
      </c>
      <c r="G15" s="19">
        <v>3444.0541318635901</v>
      </c>
      <c r="H15" s="19">
        <v>3026.2955308695068</v>
      </c>
      <c r="I15" s="19">
        <v>3467.8389727725539</v>
      </c>
      <c r="J15" s="19">
        <v>3950.9248490124392</v>
      </c>
      <c r="K15" s="19">
        <v>4406.3980347664792</v>
      </c>
      <c r="L15" s="19">
        <v>4049.7921652130767</v>
      </c>
      <c r="M15" s="19">
        <v>4098.3333313132553</v>
      </c>
      <c r="N15" s="19">
        <v>4426.9233853406422</v>
      </c>
      <c r="O15" s="19"/>
      <c r="P15" s="568"/>
      <c r="Q15" s="569">
        <v>3.6206620215322043</v>
      </c>
      <c r="R15" s="569">
        <v>3.3481791735664133</v>
      </c>
      <c r="S15" s="569">
        <v>2.5152150458730986</v>
      </c>
      <c r="T15" s="569">
        <v>1.9242129161614157</v>
      </c>
      <c r="U15" s="569">
        <v>2.0897027218705109</v>
      </c>
      <c r="V15" s="569">
        <v>2.2712020349049173</v>
      </c>
      <c r="W15" s="569">
        <v>2.3782195421914971</v>
      </c>
      <c r="X15" s="569">
        <v>2.1521753222511601</v>
      </c>
      <c r="Y15" s="569">
        <v>2.0653078103584686</v>
      </c>
      <c r="Z15" s="569">
        <v>2.0870128642653958</v>
      </c>
    </row>
    <row r="16" spans="1:26" x14ac:dyDescent="0.3">
      <c r="A16" s="23" t="s">
        <v>31</v>
      </c>
      <c r="B16" s="24">
        <f>B14-B15</f>
        <v>-590.32591291771314</v>
      </c>
      <c r="C16" s="24">
        <f>C14-C15</f>
        <v>-1693.2425499300505</v>
      </c>
      <c r="D16" s="25">
        <f>D14-D15</f>
        <v>-2418.0326535947065</v>
      </c>
      <c r="E16" s="437">
        <v>-3017.0634387301461</v>
      </c>
      <c r="F16" s="25">
        <v>-3727.7805736143778</v>
      </c>
      <c r="G16" s="25">
        <v>-1573.0703047842278</v>
      </c>
      <c r="H16" s="25">
        <v>-773.81434549778987</v>
      </c>
      <c r="I16" s="25">
        <v>-1429.8862678156229</v>
      </c>
      <c r="J16" s="25">
        <v>-5385.7273361967009</v>
      </c>
      <c r="K16" s="25">
        <v>-5239.5876229148744</v>
      </c>
      <c r="L16" s="25">
        <v>-4979.970881330908</v>
      </c>
      <c r="M16" s="25">
        <v>-4282.113873756155</v>
      </c>
      <c r="N16" s="25">
        <v>-3755.7761086016762</v>
      </c>
      <c r="O16" s="25"/>
      <c r="P16" s="568"/>
      <c r="Q16" s="569">
        <v>-3.0606022192360216</v>
      </c>
      <c r="R16" s="569">
        <v>-3.0844253634339043</v>
      </c>
      <c r="S16" s="569">
        <v>-1.1488234352078943</v>
      </c>
      <c r="T16" s="569">
        <v>-0.49201525202333063</v>
      </c>
      <c r="U16" s="569">
        <v>-0.86164243763332049</v>
      </c>
      <c r="V16" s="569">
        <v>-3.0960029240926907</v>
      </c>
      <c r="W16" s="569">
        <v>-2.82790832319832</v>
      </c>
      <c r="X16" s="569">
        <v>-2.6464988816940522</v>
      </c>
      <c r="Y16" s="569">
        <v>-2.1579218949179619</v>
      </c>
      <c r="Z16" s="569">
        <v>-1.7706096021242035</v>
      </c>
    </row>
    <row r="17" spans="1:26" x14ac:dyDescent="0.3">
      <c r="A17" s="23" t="s">
        <v>32</v>
      </c>
      <c r="B17" s="26">
        <f>SUM(B18:B24)</f>
        <v>590.32591291771314</v>
      </c>
      <c r="C17" s="26">
        <f>SUM(C18:C24)</f>
        <v>1693.2425499300505</v>
      </c>
      <c r="D17" s="27">
        <f>SUM(D18:D24)</f>
        <v>2418.0326535947065</v>
      </c>
      <c r="E17" s="438">
        <v>3017.0634387301461</v>
      </c>
      <c r="F17" s="27">
        <v>3727.7805736143778</v>
      </c>
      <c r="G17" s="27">
        <v>1573.0703047842278</v>
      </c>
      <c r="H17" s="27">
        <v>773.81434549778987</v>
      </c>
      <c r="I17" s="27">
        <v>1429.8862678156229</v>
      </c>
      <c r="J17" s="27">
        <v>5385.7273361967009</v>
      </c>
      <c r="K17" s="27">
        <v>5239.5876229148744</v>
      </c>
      <c r="L17" s="27">
        <v>4979.970881330908</v>
      </c>
      <c r="M17" s="27">
        <v>4282.113873756155</v>
      </c>
      <c r="N17" s="27">
        <v>3755.7761086016762</v>
      </c>
      <c r="O17" s="27"/>
      <c r="P17" s="579"/>
      <c r="Q17" s="569">
        <v>3.0606022192360216</v>
      </c>
      <c r="R17" s="569">
        <v>3.0844253634339043</v>
      </c>
      <c r="S17" s="569">
        <v>1.1488234352078943</v>
      </c>
      <c r="T17" s="569">
        <v>0.49201525202333063</v>
      </c>
      <c r="U17" s="569">
        <v>0.86164243763332049</v>
      </c>
      <c r="V17" s="569">
        <v>3.0960029240926907</v>
      </c>
      <c r="W17" s="569">
        <v>2.82790832319832</v>
      </c>
      <c r="X17" s="569">
        <v>2.6464988816940522</v>
      </c>
      <c r="Y17" s="569">
        <v>2.1579218949179619</v>
      </c>
      <c r="Z17" s="569">
        <v>1.7706096021242035</v>
      </c>
    </row>
    <row r="18" spans="1:26" x14ac:dyDescent="0.3">
      <c r="A18" s="22" t="s">
        <v>33</v>
      </c>
      <c r="B18" s="28">
        <v>954.41282000000001</v>
      </c>
      <c r="C18" s="28">
        <v>1425.6025199999995</v>
      </c>
      <c r="D18" s="20">
        <v>2140.9637100000004</v>
      </c>
      <c r="E18" s="439">
        <v>2459.8974900000003</v>
      </c>
      <c r="F18" s="20">
        <v>2876.5008199999993</v>
      </c>
      <c r="G18" s="29">
        <v>1089.6155899999999</v>
      </c>
      <c r="H18" s="29">
        <v>11.739740000000223</v>
      </c>
      <c r="I18" s="21">
        <v>560.92237000000011</v>
      </c>
      <c r="J18" s="30">
        <v>-330.02074974999994</v>
      </c>
      <c r="K18" s="30">
        <v>2104.2712500000007</v>
      </c>
      <c r="L18" s="30">
        <v>2064.574525999999</v>
      </c>
      <c r="M18" s="30">
        <v>3996.5487999999968</v>
      </c>
      <c r="N18" s="30">
        <v>3385.6561299999994</v>
      </c>
      <c r="O18" s="30"/>
      <c r="P18" s="579"/>
      <c r="Q18" s="578">
        <v>2.495395894014051</v>
      </c>
      <c r="R18" s="578">
        <v>2.3800628582985439</v>
      </c>
      <c r="S18" s="578">
        <v>0.79575332478962391</v>
      </c>
      <c r="T18" s="578">
        <v>7.4644921852317636E-3</v>
      </c>
      <c r="U18" s="578">
        <v>0.33800906343984871</v>
      </c>
      <c r="V18" s="578">
        <v>-0.18971350431542627</v>
      </c>
      <c r="W18" s="578">
        <v>1.1357165125204001</v>
      </c>
      <c r="X18" s="578">
        <v>1.0971739201761734</v>
      </c>
      <c r="Y18" s="578">
        <v>2.0140146698301482</v>
      </c>
      <c r="Z18" s="578">
        <v>1.5961215684660617</v>
      </c>
    </row>
    <row r="19" spans="1:26" x14ac:dyDescent="0.3">
      <c r="A19" s="577" t="s">
        <v>603</v>
      </c>
      <c r="B19" s="28"/>
      <c r="C19" s="28"/>
      <c r="D19" s="20"/>
      <c r="E19" s="439">
        <v>1119.288</v>
      </c>
      <c r="F19" s="590">
        <v>1264.249</v>
      </c>
      <c r="G19" s="591">
        <v>441.16</v>
      </c>
      <c r="H19" s="591">
        <v>-2.4650000000000887</v>
      </c>
      <c r="I19" s="592">
        <v>195.47300000000001</v>
      </c>
      <c r="J19" s="593">
        <v>-85.815883000000127</v>
      </c>
      <c r="K19" s="593">
        <v>603.57400000000007</v>
      </c>
      <c r="L19" s="593">
        <v>584.78499999999997</v>
      </c>
      <c r="M19" s="593">
        <v>1141.4059999999999</v>
      </c>
      <c r="N19" s="593">
        <v>972.88600000000008</v>
      </c>
      <c r="O19" s="593"/>
      <c r="P19" s="579"/>
      <c r="Q19" s="578">
        <v>2.4953958940140506</v>
      </c>
      <c r="R19" s="578">
        <v>2.3800628582985448</v>
      </c>
      <c r="S19" s="578">
        <v>0.79575332478962391</v>
      </c>
      <c r="T19" s="578">
        <v>7.4644921852316847E-3</v>
      </c>
      <c r="U19" s="578">
        <v>0.33800906343984871</v>
      </c>
      <c r="V19" s="578">
        <v>-0.18971350431542644</v>
      </c>
      <c r="W19" s="578">
        <v>1.1357165125204001</v>
      </c>
      <c r="X19" s="578">
        <v>1.0971739201761739</v>
      </c>
      <c r="Y19" s="578">
        <v>2.0140146698301504</v>
      </c>
      <c r="Z19" s="578">
        <v>1.5961215684660619</v>
      </c>
    </row>
    <row r="20" spans="1:26" x14ac:dyDescent="0.3">
      <c r="A20" s="577" t="s">
        <v>604</v>
      </c>
      <c r="B20" s="28"/>
      <c r="C20" s="28"/>
      <c r="D20" s="20"/>
      <c r="E20" s="439">
        <v>447.78800000000001</v>
      </c>
      <c r="F20" s="590">
        <v>572.44899999999996</v>
      </c>
      <c r="G20" s="591">
        <v>332.76</v>
      </c>
      <c r="H20" s="591">
        <v>1512.835</v>
      </c>
      <c r="I20" s="592">
        <v>610.02299999999991</v>
      </c>
      <c r="J20" s="593">
        <v>749.73300000000006</v>
      </c>
      <c r="K20" s="593">
        <v>1266.191</v>
      </c>
      <c r="L20" s="593">
        <v>1278.0069999999998</v>
      </c>
      <c r="M20" s="593">
        <v>2825.9279999999999</v>
      </c>
      <c r="N20" s="593">
        <v>2070.1929999999998</v>
      </c>
      <c r="O20" s="593"/>
      <c r="P20" s="579"/>
      <c r="Q20" s="578">
        <v>0.99457994670667271</v>
      </c>
      <c r="R20" s="578">
        <v>1.0771523653585837</v>
      </c>
      <c r="S20" s="578">
        <v>0.59936441865333023</v>
      </c>
      <c r="T20" s="578">
        <v>2.5549985441692469</v>
      </c>
      <c r="U20" s="578">
        <v>1.0745447662284791</v>
      </c>
      <c r="V20" s="578">
        <v>1.4575317236939975</v>
      </c>
      <c r="W20" s="578">
        <v>2.3847359417904173</v>
      </c>
      <c r="X20" s="578">
        <v>2.3855953008278514</v>
      </c>
      <c r="Y20" s="578">
        <v>4.9837086672064235</v>
      </c>
      <c r="Z20" s="578">
        <v>3.3952501275241129</v>
      </c>
    </row>
    <row r="21" spans="1:26" x14ac:dyDescent="0.3">
      <c r="A21" s="577" t="s">
        <v>605</v>
      </c>
      <c r="B21" s="28"/>
      <c r="C21" s="28"/>
      <c r="D21" s="20"/>
      <c r="E21" s="439">
        <v>809</v>
      </c>
      <c r="F21" s="590">
        <v>820.4</v>
      </c>
      <c r="G21" s="591">
        <v>795.6</v>
      </c>
      <c r="H21" s="591">
        <v>804.9</v>
      </c>
      <c r="I21" s="592">
        <v>657.35</v>
      </c>
      <c r="J21" s="593">
        <v>859.52388300000007</v>
      </c>
      <c r="K21" s="593">
        <v>605.33699999999999</v>
      </c>
      <c r="L21" s="593">
        <v>711.95800000000008</v>
      </c>
      <c r="M21" s="593">
        <v>1770.3219999999997</v>
      </c>
      <c r="N21" s="593">
        <v>1161.24</v>
      </c>
      <c r="O21" s="593"/>
      <c r="P21" s="579"/>
      <c r="Q21" s="578">
        <v>1.7959990928553597</v>
      </c>
      <c r="R21" s="578">
        <v>1.5403433116202543</v>
      </c>
      <c r="S21" s="578">
        <v>1.4416666166406729</v>
      </c>
      <c r="T21" s="578">
        <v>1.3680987739249189</v>
      </c>
      <c r="U21" s="578">
        <v>1.1726530491184775</v>
      </c>
      <c r="V21" s="578">
        <v>1.6942050714106578</v>
      </c>
      <c r="W21" s="578">
        <v>1.1408098575171466</v>
      </c>
      <c r="X21" s="578">
        <v>1.3243168679503801</v>
      </c>
      <c r="Y21" s="578">
        <v>3.119756289713941</v>
      </c>
      <c r="Z21" s="578">
        <v>1.9037673634075838</v>
      </c>
    </row>
    <row r="22" spans="1:26" x14ac:dyDescent="0.3">
      <c r="A22" s="577" t="s">
        <v>606</v>
      </c>
      <c r="B22" s="28"/>
      <c r="C22" s="28"/>
      <c r="D22" s="20"/>
      <c r="E22" s="439">
        <v>1480.5</v>
      </c>
      <c r="F22" s="590">
        <v>1512.2</v>
      </c>
      <c r="G22" s="591">
        <v>904</v>
      </c>
      <c r="H22" s="591">
        <v>-710.4</v>
      </c>
      <c r="I22" s="592">
        <v>242.8</v>
      </c>
      <c r="J22" s="593">
        <v>23.974999999999909</v>
      </c>
      <c r="K22" s="593">
        <v>-57.28</v>
      </c>
      <c r="L22" s="593">
        <v>18.736000000000217</v>
      </c>
      <c r="M22" s="593">
        <v>85.799999999999727</v>
      </c>
      <c r="N22" s="593">
        <v>63.93300000000022</v>
      </c>
      <c r="O22" s="593"/>
      <c r="P22" s="579"/>
      <c r="Q22" s="578">
        <v>3.2968150401627385</v>
      </c>
      <c r="R22" s="578">
        <v>2.8432538045602151</v>
      </c>
      <c r="S22" s="578">
        <v>1.6380555227769666</v>
      </c>
      <c r="T22" s="578">
        <v>-1.1794352780590962</v>
      </c>
      <c r="U22" s="578">
        <v>0.43611734632984722</v>
      </c>
      <c r="V22" s="578">
        <v>4.6959843401233922E-2</v>
      </c>
      <c r="W22" s="578">
        <v>-0.10820957175287067</v>
      </c>
      <c r="X22" s="578">
        <v>3.5895487298702726E-2</v>
      </c>
      <c r="Y22" s="578">
        <v>0.15006229233766816</v>
      </c>
      <c r="Z22" s="578">
        <v>0.10463880434953253</v>
      </c>
    </row>
    <row r="23" spans="1:26" x14ac:dyDescent="0.3">
      <c r="A23" s="22" t="s">
        <v>34</v>
      </c>
      <c r="B23" s="28">
        <v>-365.50790708228686</v>
      </c>
      <c r="C23" s="28">
        <v>198.72602993005103</v>
      </c>
      <c r="D23" s="20">
        <v>-22.919056405293929</v>
      </c>
      <c r="E23" s="439">
        <v>-4475.044561269855</v>
      </c>
      <c r="F23" s="20">
        <v>-1299.2294963856216</v>
      </c>
      <c r="G23" s="29">
        <v>-4795.0567052157721</v>
      </c>
      <c r="H23" s="29">
        <v>-730.19434450221024</v>
      </c>
      <c r="I23" s="21">
        <v>105.06569781562268</v>
      </c>
      <c r="J23" s="30">
        <v>4397.2491447731009</v>
      </c>
      <c r="K23" s="30">
        <v>1708.1833497548739</v>
      </c>
      <c r="L23" s="30">
        <v>1781.8562073309092</v>
      </c>
      <c r="M23" s="30">
        <v>-1217.5320901464165</v>
      </c>
      <c r="N23" s="30">
        <v>189.40609157527683</v>
      </c>
      <c r="O23" s="30"/>
      <c r="P23" s="579"/>
      <c r="Q23" s="578">
        <v>-4.5396232441062843</v>
      </c>
      <c r="R23" s="578">
        <v>-1.0750032981924689</v>
      </c>
      <c r="S23" s="578">
        <v>-3.5018609780814818</v>
      </c>
      <c r="T23" s="578">
        <v>-0.46428029736919862</v>
      </c>
      <c r="U23" s="578">
        <v>6.3312073145367298E-2</v>
      </c>
      <c r="V23" s="578">
        <v>2.5277730119541255</v>
      </c>
      <c r="W23" s="578">
        <v>0.9219400952843031</v>
      </c>
      <c r="X23" s="578">
        <v>0.94692932396837237</v>
      </c>
      <c r="Y23" s="578">
        <v>-0.61356125328529643</v>
      </c>
      <c r="Z23" s="578">
        <v>8.929292767903084E-2</v>
      </c>
    </row>
    <row r="24" spans="1:26" x14ac:dyDescent="0.3">
      <c r="A24" s="22" t="s">
        <v>35</v>
      </c>
      <c r="B24" s="28">
        <v>1.421</v>
      </c>
      <c r="C24" s="28">
        <v>68.914000000000001</v>
      </c>
      <c r="D24" s="20">
        <v>299.988</v>
      </c>
      <c r="E24" s="439">
        <v>5032.2105100000008</v>
      </c>
      <c r="F24" s="20">
        <v>2150.5092500000001</v>
      </c>
      <c r="G24" s="29">
        <v>5278.5114199999998</v>
      </c>
      <c r="H24" s="29">
        <v>1492.2689499999999</v>
      </c>
      <c r="I24" s="29">
        <v>763.89820000000009</v>
      </c>
      <c r="J24" s="29">
        <v>1318.4989411736001</v>
      </c>
      <c r="K24" s="29">
        <v>1427.1330231599998</v>
      </c>
      <c r="L24" s="29">
        <v>1133.5401479999998</v>
      </c>
      <c r="M24" s="29">
        <v>1503.0971639025747</v>
      </c>
      <c r="N24" s="29">
        <v>180.71388702640002</v>
      </c>
      <c r="O24" s="29"/>
      <c r="P24" s="579"/>
      <c r="Q24" s="578">
        <v>5.1048295693282544</v>
      </c>
      <c r="R24" s="578">
        <v>1.7793658033278295</v>
      </c>
      <c r="S24" s="578">
        <v>3.8549310884997512</v>
      </c>
      <c r="T24" s="578">
        <v>0.94883105720729755</v>
      </c>
      <c r="U24" s="578">
        <v>0.46032130104810448</v>
      </c>
      <c r="V24" s="578">
        <v>0.75794341645399155</v>
      </c>
      <c r="W24" s="578">
        <v>0.7702517153936167</v>
      </c>
      <c r="X24" s="578">
        <v>0.60239563754950642</v>
      </c>
      <c r="Y24" s="578">
        <v>0.75746847837311004</v>
      </c>
      <c r="Z24" s="578">
        <v>8.5195105979110841E-2</v>
      </c>
    </row>
    <row r="25" spans="1:26" x14ac:dyDescent="0.3">
      <c r="A25" s="31"/>
      <c r="B25" s="32"/>
      <c r="C25" s="32"/>
      <c r="D25" s="32"/>
      <c r="E25" s="440"/>
      <c r="F25" s="32"/>
      <c r="G25" s="33"/>
      <c r="H25" s="33"/>
      <c r="I25" s="33"/>
      <c r="J25" s="33"/>
      <c r="K25" s="33"/>
      <c r="M25" s="579"/>
      <c r="N25" s="579"/>
      <c r="O25" s="579"/>
      <c r="P25" s="579"/>
      <c r="Q25" s="587">
        <f>+Q9-Q11</f>
        <v>4.8004825078650306</v>
      </c>
      <c r="R25" s="587">
        <f>+R9-R11</f>
        <v>4.3231217369007737</v>
      </c>
      <c r="S25" s="587">
        <f>+S9-S11</f>
        <v>4.7540505812675935</v>
      </c>
      <c r="T25" s="579"/>
      <c r="U25" s="579"/>
      <c r="V25" s="579"/>
      <c r="W25" s="579"/>
      <c r="X25" s="579"/>
      <c r="Y25" s="579"/>
      <c r="Z25" s="579"/>
    </row>
    <row r="26" spans="1:26" x14ac:dyDescent="0.3">
      <c r="A26" s="34" t="s">
        <v>36</v>
      </c>
      <c r="B26" s="35"/>
      <c r="C26" s="35"/>
      <c r="D26" s="35"/>
      <c r="E26" s="441"/>
      <c r="F26" s="35"/>
      <c r="G26" s="36"/>
      <c r="H26" s="36"/>
      <c r="I26" s="36"/>
      <c r="J26" s="36"/>
      <c r="K26" s="36"/>
      <c r="M26" s="580"/>
      <c r="N26" s="580"/>
      <c r="O26" s="580"/>
      <c r="P26" s="580"/>
      <c r="Q26" s="581"/>
      <c r="R26" s="581"/>
      <c r="S26" s="581"/>
      <c r="T26" s="581"/>
      <c r="U26" s="581"/>
      <c r="V26" s="581"/>
      <c r="W26" s="581"/>
      <c r="X26" s="581"/>
      <c r="Y26" s="581"/>
      <c r="Z26" s="581"/>
    </row>
    <row r="27" spans="1:26" x14ac:dyDescent="0.3">
      <c r="A27" s="37" t="s">
        <v>37</v>
      </c>
      <c r="B27" s="2"/>
      <c r="C27" s="2"/>
      <c r="D27" s="2"/>
      <c r="E27" s="434"/>
      <c r="F27" s="2"/>
      <c r="G27" s="2"/>
      <c r="H27" s="2"/>
      <c r="I27" s="2"/>
      <c r="J27" s="2"/>
      <c r="K27" s="2"/>
      <c r="M27" s="582" t="s">
        <v>607</v>
      </c>
      <c r="N27" s="577"/>
      <c r="O27" s="577"/>
      <c r="P27" s="577"/>
      <c r="Q27" s="569"/>
      <c r="R27" s="569"/>
      <c r="S27" s="569"/>
      <c r="T27" s="569"/>
      <c r="U27" s="569"/>
      <c r="V27" s="569"/>
      <c r="W27" s="569"/>
      <c r="X27" s="579"/>
      <c r="Y27" s="579"/>
      <c r="Z27" s="579"/>
    </row>
    <row r="28" spans="1:26" x14ac:dyDescent="0.3">
      <c r="A28" s="38" t="s">
        <v>38</v>
      </c>
      <c r="B28" s="2"/>
      <c r="C28" s="2"/>
      <c r="D28" s="2"/>
      <c r="E28" s="434"/>
      <c r="F28" s="2"/>
      <c r="G28" s="2"/>
      <c r="H28" s="2"/>
      <c r="I28" s="2"/>
      <c r="J28" s="2"/>
      <c r="K28" s="2"/>
      <c r="M28" s="583" t="s">
        <v>608</v>
      </c>
      <c r="N28" s="577"/>
      <c r="O28" s="577"/>
      <c r="P28" s="577"/>
      <c r="Q28" s="577"/>
      <c r="R28" s="577"/>
      <c r="S28" s="577"/>
      <c r="T28" s="577"/>
      <c r="U28" s="577"/>
      <c r="V28" s="577"/>
      <c r="W28" s="577"/>
      <c r="X28" s="579"/>
      <c r="Y28" s="579"/>
      <c r="Z28" s="579"/>
    </row>
    <row r="29" spans="1:26" x14ac:dyDescent="0.3">
      <c r="M29" s="583" t="s">
        <v>609</v>
      </c>
      <c r="N29" s="583" t="s">
        <v>610</v>
      </c>
      <c r="O29" s="583"/>
      <c r="P29" s="577"/>
      <c r="Q29" s="577"/>
      <c r="R29" s="577"/>
      <c r="S29" s="577"/>
      <c r="T29" s="577"/>
      <c r="U29" s="577"/>
      <c r="V29" s="577"/>
      <c r="W29" s="577"/>
      <c r="X29" s="579"/>
      <c r="Y29" s="579"/>
      <c r="Z29" s="579"/>
    </row>
    <row r="30" spans="1:26" x14ac:dyDescent="0.3">
      <c r="M30" s="579"/>
      <c r="N30" s="577" t="s">
        <v>611</v>
      </c>
      <c r="O30" s="577"/>
      <c r="P30" s="577"/>
      <c r="Q30" s="577"/>
      <c r="R30" s="577"/>
      <c r="S30" s="577"/>
      <c r="T30" s="577"/>
      <c r="U30" s="577"/>
      <c r="V30" s="577"/>
      <c r="W30" s="577"/>
      <c r="X30" s="579"/>
      <c r="Y30" s="579"/>
      <c r="Z30" s="579"/>
    </row>
    <row r="31" spans="1:26" x14ac:dyDescent="0.3">
      <c r="A31" s="4" t="s">
        <v>39</v>
      </c>
      <c r="B31" s="39"/>
      <c r="C31" s="39"/>
      <c r="D31" s="39"/>
      <c r="E31" s="442"/>
      <c r="F31" s="39"/>
      <c r="G31" s="39"/>
      <c r="H31" s="39"/>
      <c r="I31" s="39"/>
      <c r="J31" s="39"/>
      <c r="K31" s="2"/>
      <c r="M31" s="583" t="s">
        <v>612</v>
      </c>
      <c r="N31" s="579"/>
      <c r="O31" s="579"/>
      <c r="P31" s="579"/>
      <c r="Q31" s="579"/>
      <c r="R31" s="579"/>
      <c r="S31" s="579"/>
      <c r="T31" s="579"/>
      <c r="U31" s="579"/>
      <c r="V31" s="579"/>
      <c r="W31" s="579"/>
      <c r="X31" s="579"/>
      <c r="Y31" s="579"/>
      <c r="Z31" s="579"/>
    </row>
    <row r="32" spans="1:26" x14ac:dyDescent="0.3">
      <c r="A32" s="6"/>
      <c r="B32" s="39"/>
      <c r="C32" s="39"/>
      <c r="D32" s="39"/>
      <c r="E32" s="442"/>
      <c r="F32" s="39"/>
      <c r="G32" s="39"/>
      <c r="H32" s="39"/>
      <c r="I32" s="39"/>
      <c r="J32" s="39"/>
      <c r="K32" s="2"/>
    </row>
    <row r="33" spans="1:15" x14ac:dyDescent="0.3">
      <c r="A33" s="7" t="s">
        <v>22</v>
      </c>
      <c r="B33" s="8"/>
      <c r="C33" s="40"/>
      <c r="D33" s="850" t="s">
        <v>23</v>
      </c>
      <c r="E33" s="850"/>
      <c r="F33" s="850"/>
      <c r="G33" s="850"/>
      <c r="H33" s="850"/>
      <c r="I33" s="850"/>
      <c r="J33" s="850"/>
      <c r="K33" s="850"/>
      <c r="L33" s="299"/>
      <c r="M33" s="299"/>
      <c r="N33" s="299"/>
      <c r="O33" s="299"/>
    </row>
    <row r="34" spans="1:15" x14ac:dyDescent="0.3">
      <c r="A34" s="10"/>
      <c r="B34" s="11">
        <v>1991</v>
      </c>
      <c r="C34" s="12">
        <v>1992</v>
      </c>
      <c r="D34" s="13">
        <v>1993</v>
      </c>
      <c r="E34" s="308">
        <v>1994</v>
      </c>
      <c r="F34" s="13">
        <v>1995</v>
      </c>
      <c r="G34" s="14">
        <v>1996</v>
      </c>
      <c r="H34" s="14">
        <v>1997</v>
      </c>
      <c r="I34" s="15" t="s">
        <v>587</v>
      </c>
      <c r="J34" s="15" t="s">
        <v>588</v>
      </c>
      <c r="K34" s="15" t="s">
        <v>585</v>
      </c>
      <c r="L34" s="15" t="s">
        <v>613</v>
      </c>
      <c r="M34" s="15" t="s">
        <v>615</v>
      </c>
      <c r="N34" s="15" t="s">
        <v>619</v>
      </c>
      <c r="O34" s="551" t="s">
        <v>774</v>
      </c>
    </row>
    <row r="35" spans="1:15" x14ac:dyDescent="0.3">
      <c r="A35" s="10"/>
      <c r="B35" s="16"/>
      <c r="C35" s="16"/>
      <c r="D35" s="13"/>
      <c r="E35" s="308"/>
      <c r="F35" s="13"/>
      <c r="G35" s="14"/>
      <c r="H35" s="14"/>
      <c r="I35" s="15"/>
      <c r="J35" s="15"/>
      <c r="K35" s="15"/>
    </row>
    <row r="36" spans="1:15" x14ac:dyDescent="0.3">
      <c r="A36" s="10" t="s">
        <v>24</v>
      </c>
      <c r="B36" s="18">
        <v>3193.2447849999999</v>
      </c>
      <c r="C36" s="18">
        <v>6058.8420000000006</v>
      </c>
      <c r="D36" s="19">
        <v>9424.0717246000004</v>
      </c>
      <c r="E36" s="436">
        <v>14484.19368965825</v>
      </c>
      <c r="F36" s="20">
        <v>18455.822076245113</v>
      </c>
      <c r="G36" s="20">
        <v>21682.239924373203</v>
      </c>
      <c r="H36" s="20">
        <v>25132.339266321771</v>
      </c>
      <c r="I36" s="20">
        <v>26193.613005265499</v>
      </c>
      <c r="J36" s="20">
        <v>25481.972232814907</v>
      </c>
      <c r="K36" s="20">
        <v>27704.860833920258</v>
      </c>
      <c r="L36" s="20">
        <v>27059.028083815781</v>
      </c>
      <c r="M36" s="20">
        <v>28559.256810910862</v>
      </c>
      <c r="N36" s="20">
        <v>31551.12892523644</v>
      </c>
      <c r="O36" s="20">
        <v>35401.351547468097</v>
      </c>
    </row>
    <row r="37" spans="1:15" x14ac:dyDescent="0.3">
      <c r="A37" s="10" t="s">
        <v>25</v>
      </c>
      <c r="B37" s="18">
        <v>2841.7511070778169</v>
      </c>
      <c r="C37" s="18">
        <v>5838.8489872770588</v>
      </c>
      <c r="D37" s="19">
        <v>8992.4812252883457</v>
      </c>
      <c r="E37" s="436">
        <v>14362.381688105415</v>
      </c>
      <c r="F37" s="20">
        <v>18782.017225666466</v>
      </c>
      <c r="G37" s="21">
        <v>20797.583407448317</v>
      </c>
      <c r="H37" s="21">
        <v>23792.656933346265</v>
      </c>
      <c r="I37" s="21">
        <v>25484.866790934626</v>
      </c>
      <c r="J37" s="21">
        <v>27835.481312230917</v>
      </c>
      <c r="K37" s="21">
        <v>29360.199152196205</v>
      </c>
      <c r="L37" s="20">
        <v>28580.017619167033</v>
      </c>
      <c r="M37" s="20">
        <v>29240.743451722337</v>
      </c>
      <c r="N37" s="20">
        <v>31459.54995875125</v>
      </c>
      <c r="O37" s="20">
        <v>34166.495071996709</v>
      </c>
    </row>
    <row r="38" spans="1:15" x14ac:dyDescent="0.3">
      <c r="A38" s="10" t="s">
        <v>26</v>
      </c>
      <c r="B38" s="18">
        <v>2319.0687467279167</v>
      </c>
      <c r="C38" s="18">
        <v>4401.3467469328716</v>
      </c>
      <c r="D38" s="19">
        <v>6448.0522456893286</v>
      </c>
      <c r="E38" s="436">
        <v>10020.896324216606</v>
      </c>
      <c r="F38" s="20">
        <v>13751.418467671641</v>
      </c>
      <c r="G38" s="21">
        <v>15749.154880844388</v>
      </c>
      <c r="H38" s="21">
        <v>17997.830053899288</v>
      </c>
      <c r="I38" s="21">
        <v>19862.33959389037</v>
      </c>
      <c r="J38" s="21">
        <v>21929.702434760613</v>
      </c>
      <c r="K38" s="21">
        <v>24101.218742337005</v>
      </c>
      <c r="L38" s="20">
        <v>24348.876359096139</v>
      </c>
      <c r="M38" s="20">
        <v>25284.617141332339</v>
      </c>
      <c r="N38" s="20">
        <v>27375.273425795349</v>
      </c>
      <c r="O38" s="20">
        <v>29869.684606311373</v>
      </c>
    </row>
    <row r="39" spans="1:15" x14ac:dyDescent="0.3">
      <c r="A39" s="10" t="s">
        <v>27</v>
      </c>
      <c r="B39" s="18">
        <v>522.68236034990014</v>
      </c>
      <c r="C39" s="18">
        <v>1437.5022403441876</v>
      </c>
      <c r="D39" s="19">
        <v>2544.4289795990171</v>
      </c>
      <c r="E39" s="436">
        <v>4341.485363888808</v>
      </c>
      <c r="F39" s="20">
        <v>5030.598757994826</v>
      </c>
      <c r="G39" s="21">
        <v>5048.4285266039287</v>
      </c>
      <c r="H39" s="21">
        <v>5794.8268794469768</v>
      </c>
      <c r="I39" s="21">
        <v>5622.5271970442554</v>
      </c>
      <c r="J39" s="21">
        <v>5905.7788774703049</v>
      </c>
      <c r="K39" s="21">
        <v>5258.9804098591985</v>
      </c>
      <c r="L39" s="20">
        <v>4231.1412600708954</v>
      </c>
      <c r="M39" s="20">
        <v>3956.1263103900001</v>
      </c>
      <c r="N39" s="20">
        <v>4084.2765329558997</v>
      </c>
      <c r="O39" s="20">
        <v>4296.8104656853375</v>
      </c>
    </row>
    <row r="40" spans="1:15" x14ac:dyDescent="0.3">
      <c r="A40" s="10" t="s">
        <v>28</v>
      </c>
      <c r="B40" s="18">
        <v>23.471</v>
      </c>
      <c r="C40" s="18">
        <v>27.565000000000001</v>
      </c>
      <c r="D40" s="19">
        <v>-58.278000000000006</v>
      </c>
      <c r="E40" s="436">
        <v>323.57100000000037</v>
      </c>
      <c r="F40" s="20">
        <v>273.62900000000002</v>
      </c>
      <c r="G40" s="21">
        <v>577.75328094999929</v>
      </c>
      <c r="H40" s="21">
        <v>192.45337952000006</v>
      </c>
      <c r="I40" s="21">
        <v>532.21155687999988</v>
      </c>
      <c r="J40" s="21">
        <v>538.78524999999991</v>
      </c>
      <c r="K40" s="21">
        <v>534.99220020951373</v>
      </c>
      <c r="L40" s="20">
        <v>291.19380945000023</v>
      </c>
      <c r="M40" s="20">
        <v>371.0830903682774</v>
      </c>
      <c r="N40" s="20">
        <v>361.13014489110003</v>
      </c>
      <c r="O40" s="20">
        <v>187.80170674129002</v>
      </c>
    </row>
    <row r="41" spans="1:15" x14ac:dyDescent="0.3">
      <c r="A41" s="22" t="s">
        <v>29</v>
      </c>
      <c r="B41" s="18">
        <f>B36-B37+B40</f>
        <v>374.964677922183</v>
      </c>
      <c r="C41" s="18">
        <f>C36-C37+C40</f>
        <v>247.55801272294178</v>
      </c>
      <c r="D41" s="19">
        <f>D36-D37+D40</f>
        <v>373.31249931165462</v>
      </c>
      <c r="E41" s="436">
        <v>445.38300155283514</v>
      </c>
      <c r="F41" s="19">
        <v>-52.566149421353543</v>
      </c>
      <c r="G41" s="19">
        <v>1462.4097978748855</v>
      </c>
      <c r="H41" s="19">
        <v>1532.1357124955061</v>
      </c>
      <c r="I41" s="19">
        <v>1240.957771210873</v>
      </c>
      <c r="J41" s="19">
        <v>-1814.7238294160097</v>
      </c>
      <c r="K41" s="19">
        <v>-1120.3461180664326</v>
      </c>
      <c r="L41" s="20">
        <v>-1229.795725901251</v>
      </c>
      <c r="M41" s="20">
        <v>-310.40355044319841</v>
      </c>
      <c r="N41" s="20">
        <v>452.70911137629093</v>
      </c>
      <c r="O41" s="20">
        <v>1422.658182212678</v>
      </c>
    </row>
    <row r="42" spans="1:15" x14ac:dyDescent="0.3">
      <c r="A42" s="22" t="s">
        <v>30</v>
      </c>
      <c r="B42" s="18">
        <v>1034.9835</v>
      </c>
      <c r="C42" s="18">
        <v>1998.0044999999998</v>
      </c>
      <c r="D42" s="19">
        <v>2887.9570000000003</v>
      </c>
      <c r="E42" s="436">
        <v>3568.8040000000001</v>
      </c>
      <c r="F42" s="19">
        <v>4046.0600012965497</v>
      </c>
      <c r="G42" s="19">
        <v>3442.6790000000001</v>
      </c>
      <c r="H42" s="19">
        <v>2792.0024301347066</v>
      </c>
      <c r="I42" s="19">
        <v>3118.7829269999997</v>
      </c>
      <c r="J42" s="19">
        <v>3670.0755990643997</v>
      </c>
      <c r="K42" s="19">
        <v>4076.8049847413909</v>
      </c>
      <c r="L42" s="20">
        <v>4060.06927881</v>
      </c>
      <c r="M42" s="20">
        <v>3953.0343843195824</v>
      </c>
      <c r="N42" s="20">
        <v>4190.7724699999999</v>
      </c>
      <c r="O42" s="20">
        <v>4411.3356337950227</v>
      </c>
    </row>
    <row r="43" spans="1:15" x14ac:dyDescent="0.3">
      <c r="A43" s="23" t="s">
        <v>31</v>
      </c>
      <c r="B43" s="24">
        <f>B41-B42</f>
        <v>-660.01882207781705</v>
      </c>
      <c r="C43" s="24">
        <f>C41-C42</f>
        <v>-1750.4464872770579</v>
      </c>
      <c r="D43" s="25">
        <f>D41-D42</f>
        <v>-2514.6445006883459</v>
      </c>
      <c r="E43" s="437">
        <v>-3123.4209984471649</v>
      </c>
      <c r="F43" s="25">
        <v>-4098.6261507179033</v>
      </c>
      <c r="G43" s="25">
        <v>-1980.2692021251146</v>
      </c>
      <c r="H43" s="25">
        <v>-1259.8667176392005</v>
      </c>
      <c r="I43" s="25">
        <v>-1877.8251557891267</v>
      </c>
      <c r="J43" s="25">
        <v>-5484.7994284804099</v>
      </c>
      <c r="K43" s="25">
        <v>-5197.1511028078239</v>
      </c>
      <c r="L43" s="25">
        <v>-5289.8650047112515</v>
      </c>
      <c r="M43" s="25">
        <v>-4263.437934762781</v>
      </c>
      <c r="N43" s="25">
        <v>-3738.0633586237091</v>
      </c>
      <c r="O43" s="20">
        <v>-2988.6774515823445</v>
      </c>
    </row>
    <row r="44" spans="1:15" x14ac:dyDescent="0.3">
      <c r="A44" s="23" t="s">
        <v>32</v>
      </c>
      <c r="B44" s="26">
        <f>SUM(B45:B47)</f>
        <v>660.01882207781705</v>
      </c>
      <c r="C44" s="26">
        <f>SUM(C45:C47)</f>
        <v>1750.4464872770579</v>
      </c>
      <c r="D44" s="27">
        <f>SUM(D45:D47)</f>
        <v>2514.6445006883459</v>
      </c>
      <c r="E44" s="438">
        <v>3123.4209984471649</v>
      </c>
      <c r="F44" s="27">
        <v>4098.6261507179033</v>
      </c>
      <c r="G44" s="27">
        <v>1980.2692021251146</v>
      </c>
      <c r="H44" s="27">
        <v>1259.8667176392005</v>
      </c>
      <c r="I44" s="27">
        <v>1877.8251557891267</v>
      </c>
      <c r="J44" s="27">
        <v>5484.7994284804099</v>
      </c>
      <c r="K44" s="27">
        <v>5197.1511028078239</v>
      </c>
      <c r="L44" s="25">
        <v>5289.8650047112515</v>
      </c>
      <c r="M44" s="25">
        <v>4263.437934762781</v>
      </c>
      <c r="N44" s="25">
        <v>3738.0633586237091</v>
      </c>
      <c r="O44" s="20">
        <v>2988.6774515823445</v>
      </c>
    </row>
    <row r="45" spans="1:15" x14ac:dyDescent="0.3">
      <c r="A45" s="22" t="s">
        <v>33</v>
      </c>
      <c r="B45" s="28">
        <v>954.41282000000001</v>
      </c>
      <c r="C45" s="28">
        <v>1425.6025199999995</v>
      </c>
      <c r="D45" s="20">
        <v>2140.9637100000004</v>
      </c>
      <c r="E45" s="439">
        <v>2459.8974900000003</v>
      </c>
      <c r="F45" s="20">
        <v>2876.5008199999993</v>
      </c>
      <c r="G45" s="29">
        <v>1089.6155899999999</v>
      </c>
      <c r="H45" s="29">
        <v>11.739740000000223</v>
      </c>
      <c r="I45" s="21">
        <v>560.92237000000011</v>
      </c>
      <c r="J45" s="21">
        <v>-330.02074974999994</v>
      </c>
      <c r="K45" s="21">
        <v>2104.2712500000007</v>
      </c>
      <c r="L45" s="20">
        <v>2064.574525999999</v>
      </c>
      <c r="M45" s="20">
        <v>3996.5487999999968</v>
      </c>
      <c r="N45" s="20">
        <v>3385.6561299999994</v>
      </c>
      <c r="O45" s="20">
        <v>3838.2711799999993</v>
      </c>
    </row>
    <row r="46" spans="1:15" x14ac:dyDescent="0.3">
      <c r="A46" s="22" t="s">
        <v>34</v>
      </c>
      <c r="B46" s="28">
        <v>-295.81499792218295</v>
      </c>
      <c r="C46" s="28">
        <v>255.92996727705849</v>
      </c>
      <c r="D46" s="20">
        <v>73.692790688345497</v>
      </c>
      <c r="E46" s="439">
        <v>-4368.6870015528366</v>
      </c>
      <c r="F46" s="20">
        <v>-928.38391928209603</v>
      </c>
      <c r="G46" s="29">
        <v>-4387.8578078748851</v>
      </c>
      <c r="H46" s="29">
        <v>-244.14197236079963</v>
      </c>
      <c r="I46" s="21">
        <v>553.00458578912639</v>
      </c>
      <c r="J46" s="30">
        <v>4496.321237056809</v>
      </c>
      <c r="K46" s="21">
        <v>1665.7468296478235</v>
      </c>
      <c r="L46" s="20">
        <v>2091.7503307112529</v>
      </c>
      <c r="M46" s="20">
        <v>-1236.2080291397906</v>
      </c>
      <c r="N46" s="20">
        <v>171.69334159730965</v>
      </c>
      <c r="O46" s="20">
        <v>-1238.891854970554</v>
      </c>
    </row>
    <row r="47" spans="1:15" x14ac:dyDescent="0.3">
      <c r="A47" s="22" t="s">
        <v>35</v>
      </c>
      <c r="B47" s="28">
        <v>1.421</v>
      </c>
      <c r="C47" s="28">
        <v>68.914000000000001</v>
      </c>
      <c r="D47" s="20">
        <v>299.988</v>
      </c>
      <c r="E47" s="439">
        <v>5032.2105100000008</v>
      </c>
      <c r="F47" s="20">
        <v>2150.5092500000001</v>
      </c>
      <c r="G47" s="29">
        <v>5278.5114199999998</v>
      </c>
      <c r="H47" s="29">
        <v>1492.2689499999999</v>
      </c>
      <c r="I47" s="29">
        <v>763.89820000000009</v>
      </c>
      <c r="J47" s="29">
        <v>1318.4989411736001</v>
      </c>
      <c r="K47" s="29">
        <v>1427.1330231599998</v>
      </c>
      <c r="L47" s="20">
        <v>1133.5401479999998</v>
      </c>
      <c r="M47" s="20">
        <v>1503.0971639025747</v>
      </c>
      <c r="N47" s="20">
        <v>180.71388702640002</v>
      </c>
      <c r="O47" s="20">
        <v>389.29812655289919</v>
      </c>
    </row>
    <row r="48" spans="1:15" x14ac:dyDescent="0.3">
      <c r="A48" s="31"/>
      <c r="B48" s="32"/>
      <c r="C48" s="32"/>
      <c r="D48" s="32"/>
      <c r="E48" s="440"/>
      <c r="F48" s="32"/>
      <c r="G48" s="33"/>
      <c r="H48" s="33"/>
      <c r="I48" s="33"/>
      <c r="J48" s="33"/>
      <c r="K48" s="33"/>
    </row>
    <row r="49" spans="1:15" x14ac:dyDescent="0.3">
      <c r="A49" s="34" t="s">
        <v>40</v>
      </c>
      <c r="B49" s="35"/>
      <c r="C49" s="35"/>
      <c r="D49" s="35"/>
      <c r="E49" s="441"/>
      <c r="F49" s="35"/>
      <c r="G49" s="36"/>
      <c r="H49" s="36"/>
      <c r="I49" s="36"/>
      <c r="J49" s="36"/>
      <c r="K49" s="36"/>
    </row>
    <row r="50" spans="1:15" x14ac:dyDescent="0.3">
      <c r="A50" s="37" t="s">
        <v>37</v>
      </c>
      <c r="B50" s="2"/>
      <c r="C50" s="2"/>
      <c r="D50" s="2"/>
      <c r="E50" s="434"/>
      <c r="F50" s="2"/>
      <c r="G50" s="2"/>
      <c r="H50" s="2"/>
      <c r="I50" s="2"/>
      <c r="J50" s="2"/>
      <c r="K50" s="2"/>
    </row>
    <row r="51" spans="1:15" x14ac:dyDescent="0.3">
      <c r="A51" s="38" t="s">
        <v>38</v>
      </c>
      <c r="B51" s="41"/>
      <c r="C51" s="41"/>
      <c r="D51" s="41"/>
      <c r="E51" s="443"/>
      <c r="F51" s="41"/>
      <c r="G51" s="42"/>
      <c r="H51" s="42"/>
      <c r="I51" s="42"/>
      <c r="J51" s="42"/>
      <c r="K51" s="42"/>
    </row>
    <row r="53" spans="1:15" ht="18" x14ac:dyDescent="0.3">
      <c r="A53" s="175" t="s">
        <v>223</v>
      </c>
      <c r="B53" s="176"/>
      <c r="C53" s="176"/>
      <c r="D53" s="176"/>
      <c r="E53" s="444"/>
      <c r="F53" s="176"/>
      <c r="G53" s="177"/>
      <c r="H53" s="178"/>
      <c r="I53" s="178"/>
      <c r="J53" s="178"/>
      <c r="K53" s="174"/>
    </row>
    <row r="54" spans="1:15" ht="18" x14ac:dyDescent="0.3">
      <c r="A54" s="179"/>
      <c r="B54" s="176"/>
      <c r="C54" s="176"/>
      <c r="D54" s="176"/>
      <c r="E54" s="444"/>
      <c r="F54" s="176"/>
      <c r="G54" s="177"/>
      <c r="H54" s="178"/>
      <c r="I54" s="178"/>
      <c r="J54" s="178"/>
      <c r="K54" s="174"/>
    </row>
    <row r="55" spans="1:15" x14ac:dyDescent="0.3">
      <c r="A55" s="180" t="s">
        <v>192</v>
      </c>
      <c r="B55" s="181"/>
      <c r="C55" s="182"/>
      <c r="D55" s="183" t="s">
        <v>23</v>
      </c>
      <c r="E55" s="445"/>
      <c r="F55" s="182"/>
      <c r="G55" s="182"/>
      <c r="H55" s="182"/>
      <c r="I55" s="182"/>
      <c r="J55" s="182"/>
      <c r="K55" s="182"/>
    </row>
    <row r="56" spans="1:15" x14ac:dyDescent="0.3">
      <c r="A56" s="184"/>
      <c r="B56" s="185">
        <v>1991</v>
      </c>
      <c r="C56" s="185">
        <v>1992</v>
      </c>
      <c r="D56" s="185">
        <v>1993</v>
      </c>
      <c r="E56" s="357">
        <v>1994</v>
      </c>
      <c r="F56" s="185">
        <v>1995</v>
      </c>
      <c r="G56" s="185">
        <v>1996</v>
      </c>
      <c r="H56" s="185">
        <v>1997</v>
      </c>
      <c r="I56" s="185">
        <v>1998</v>
      </c>
      <c r="J56" s="185">
        <v>1999</v>
      </c>
      <c r="K56" s="185">
        <v>2000</v>
      </c>
      <c r="L56" s="185" t="s">
        <v>620</v>
      </c>
      <c r="M56" s="185" t="s">
        <v>621</v>
      </c>
      <c r="N56" s="185" t="s">
        <v>614</v>
      </c>
      <c r="O56" s="729">
        <v>2004</v>
      </c>
    </row>
    <row r="57" spans="1:15" x14ac:dyDescent="0.3">
      <c r="A57" s="184"/>
      <c r="B57" s="185"/>
      <c r="C57" s="185"/>
      <c r="D57" s="185"/>
      <c r="E57" s="357"/>
      <c r="F57" s="185"/>
      <c r="G57" s="185"/>
      <c r="H57" s="185"/>
      <c r="I57" s="185"/>
      <c r="J57" s="185"/>
      <c r="K57" s="185"/>
    </row>
    <row r="58" spans="1:15" x14ac:dyDescent="0.3">
      <c r="A58" s="186" t="s">
        <v>209</v>
      </c>
      <c r="B58" s="187">
        <f>B59+B60</f>
        <v>707.40592563121811</v>
      </c>
      <c r="C58" s="187">
        <f>C59+C60</f>
        <v>1146.9467509798917</v>
      </c>
      <c r="D58" s="187">
        <f>D59+D60</f>
        <v>1557.6616664195217</v>
      </c>
      <c r="E58" s="358">
        <v>2332.2127340681463</v>
      </c>
      <c r="F58" s="187">
        <v>3069.6029392499649</v>
      </c>
      <c r="G58" s="187">
        <v>3742.7400910038332</v>
      </c>
      <c r="H58" s="187">
        <v>4866.4552778348598</v>
      </c>
      <c r="I58" s="187">
        <v>5358.9500382314864</v>
      </c>
      <c r="J58" s="187">
        <v>6141.6867450802829</v>
      </c>
      <c r="K58" s="187">
        <v>6622.6930957082195</v>
      </c>
      <c r="L58" s="187">
        <v>6760.4817674847545</v>
      </c>
      <c r="M58" s="187">
        <v>7263.67638151346</v>
      </c>
      <c r="N58" s="187">
        <v>7579.3047477319578</v>
      </c>
      <c r="O58" s="187"/>
    </row>
    <row r="59" spans="1:15" x14ac:dyDescent="0.3">
      <c r="A59" s="186" t="s">
        <v>224</v>
      </c>
      <c r="B59" s="187">
        <v>538.51800000000003</v>
      </c>
      <c r="C59" s="187">
        <v>933.05100000000004</v>
      </c>
      <c r="D59" s="187">
        <v>1335.3510000000001</v>
      </c>
      <c r="E59" s="358">
        <v>1766.7503999999999</v>
      </c>
      <c r="F59" s="188">
        <v>2194.2163610000002</v>
      </c>
      <c r="G59" s="189">
        <v>2389.1985319999994</v>
      </c>
      <c r="H59" s="190">
        <v>2936.9122540000003</v>
      </c>
      <c r="I59" s="190">
        <v>2985.3643689999999</v>
      </c>
      <c r="J59" s="190">
        <v>2996.977563417347</v>
      </c>
      <c r="K59" s="190">
        <v>3185.3472837600002</v>
      </c>
      <c r="L59" s="187">
        <v>3260.21362335</v>
      </c>
      <c r="M59" s="187">
        <v>3320.1026584118367</v>
      </c>
      <c r="N59" s="187">
        <v>3503.8845876391838</v>
      </c>
      <c r="O59" s="187"/>
    </row>
    <row r="60" spans="1:15" x14ac:dyDescent="0.3">
      <c r="A60" s="186" t="s">
        <v>225</v>
      </c>
      <c r="B60" s="187">
        <v>168.88792563121808</v>
      </c>
      <c r="C60" s="187">
        <v>213.89575097989166</v>
      </c>
      <c r="D60" s="187">
        <v>222.31066641952157</v>
      </c>
      <c r="E60" s="358">
        <v>565.46233406814645</v>
      </c>
      <c r="F60" s="188">
        <v>875.38657824996471</v>
      </c>
      <c r="G60" s="189">
        <v>1353.5415590038338</v>
      </c>
      <c r="H60" s="190">
        <v>1929.5430238348595</v>
      </c>
      <c r="I60" s="190">
        <v>2373.5856692314865</v>
      </c>
      <c r="J60" s="190">
        <v>3144.7091816629359</v>
      </c>
      <c r="K60" s="190">
        <v>3437.3458119482193</v>
      </c>
      <c r="L60" s="187">
        <v>3500.2681441347545</v>
      </c>
      <c r="M60" s="187">
        <v>3943.5737231016233</v>
      </c>
      <c r="N60" s="187">
        <v>4075.420160092774</v>
      </c>
      <c r="O60" s="187"/>
    </row>
    <row r="61" spans="1:15" x14ac:dyDescent="0.3">
      <c r="A61" s="186" t="s">
        <v>25</v>
      </c>
      <c r="B61" s="187">
        <f>B62+B63</f>
        <v>632.72693478765609</v>
      </c>
      <c r="C61" s="187">
        <f>C62+C63</f>
        <v>1089.879621514064</v>
      </c>
      <c r="D61" s="187">
        <f>D62+D63</f>
        <v>1460.7730866298793</v>
      </c>
      <c r="E61" s="358">
        <v>2225.6930231279939</v>
      </c>
      <c r="F61" s="187">
        <v>2807.3726774282859</v>
      </c>
      <c r="G61" s="187">
        <v>3335.333051733824</v>
      </c>
      <c r="H61" s="187">
        <v>4149.773210839181</v>
      </c>
      <c r="I61" s="187">
        <v>4562.2576607480469</v>
      </c>
      <c r="J61" s="187">
        <v>5762.0854028485301</v>
      </c>
      <c r="K61" s="187">
        <v>6335.8725657901796</v>
      </c>
      <c r="L61" s="187">
        <v>6461.2099777013327</v>
      </c>
      <c r="M61" s="187">
        <v>7137.8064735131584</v>
      </c>
      <c r="N61" s="187">
        <v>7361.5785463692855</v>
      </c>
      <c r="O61" s="187"/>
    </row>
    <row r="62" spans="1:15" x14ac:dyDescent="0.3">
      <c r="A62" s="186" t="s">
        <v>226</v>
      </c>
      <c r="B62" s="187">
        <v>576.6702598211308</v>
      </c>
      <c r="C62" s="187">
        <v>1037.1413674180421</v>
      </c>
      <c r="D62" s="187">
        <v>1381.1522159677706</v>
      </c>
      <c r="E62" s="358">
        <v>2063.3171435893428</v>
      </c>
      <c r="F62" s="188">
        <v>2549.1599948022522</v>
      </c>
      <c r="G62" s="188">
        <v>3166.1600566428287</v>
      </c>
      <c r="H62" s="188">
        <v>4008.0865038297211</v>
      </c>
      <c r="I62" s="188">
        <v>4422.3545026829688</v>
      </c>
      <c r="J62" s="188">
        <v>5474.7550873114633</v>
      </c>
      <c r="K62" s="190">
        <v>6044.4871625901797</v>
      </c>
      <c r="L62" s="187">
        <v>6332.8052457513331</v>
      </c>
      <c r="M62" s="187">
        <v>7031.0298821262386</v>
      </c>
      <c r="N62" s="187">
        <v>7234.6660317392852</v>
      </c>
      <c r="O62" s="187"/>
    </row>
    <row r="63" spans="1:15" x14ac:dyDescent="0.3">
      <c r="A63" s="186" t="s">
        <v>227</v>
      </c>
      <c r="B63" s="187">
        <v>56.056674966525321</v>
      </c>
      <c r="C63" s="187">
        <v>52.738254096021869</v>
      </c>
      <c r="D63" s="187">
        <v>79.6208706621087</v>
      </c>
      <c r="E63" s="358">
        <v>162.37587953865096</v>
      </c>
      <c r="F63" s="188">
        <v>258.21268262603382</v>
      </c>
      <c r="G63" s="189">
        <v>169.1729950909951</v>
      </c>
      <c r="H63" s="190">
        <v>141.68670700946041</v>
      </c>
      <c r="I63" s="190">
        <v>139.90315806507763</v>
      </c>
      <c r="J63" s="190">
        <v>287.33031553706678</v>
      </c>
      <c r="K63" s="190">
        <v>291.38540320000004</v>
      </c>
      <c r="L63" s="187">
        <v>128.40473194999973</v>
      </c>
      <c r="M63" s="187">
        <v>106.77659138691989</v>
      </c>
      <c r="N63" s="187">
        <v>126.91251463000006</v>
      </c>
      <c r="O63" s="187"/>
    </row>
    <row r="64" spans="1:15" x14ac:dyDescent="0.3">
      <c r="A64" s="186" t="s">
        <v>228</v>
      </c>
      <c r="B64" s="187">
        <v>2.0453160760516811E-2</v>
      </c>
      <c r="C64" s="187">
        <v>0.36102359248524535</v>
      </c>
      <c r="D64" s="187">
        <v>2.0647017525441746E-2</v>
      </c>
      <c r="E64" s="358">
        <v>0.18992548204361476</v>
      </c>
      <c r="F64" s="188">
        <v>109.1039606692497</v>
      </c>
      <c r="G64" s="189">
        <v>1.1669899344646255</v>
      </c>
      <c r="H64" s="190">
        <v>3.663405880530914</v>
      </c>
      <c r="I64" s="190">
        <v>0.30255626261501611</v>
      </c>
      <c r="J64" s="190">
        <v>0.32</v>
      </c>
      <c r="K64" s="190">
        <v>0.33600000000000002</v>
      </c>
      <c r="L64" s="187">
        <v>0.34521999999999753</v>
      </c>
      <c r="M64" s="187">
        <v>0.75310000000000588</v>
      </c>
      <c r="N64" s="187">
        <v>0.71196400000000726</v>
      </c>
      <c r="O64" s="187"/>
    </row>
    <row r="65" spans="1:15" x14ac:dyDescent="0.3">
      <c r="A65" s="186" t="s">
        <v>229</v>
      </c>
      <c r="B65" s="187">
        <f>B58-B61+B64</f>
        <v>74.69944400432253</v>
      </c>
      <c r="C65" s="187">
        <f>C58-C61+C64</f>
        <v>57.428153058312994</v>
      </c>
      <c r="D65" s="187">
        <f>D58-D61+D64</f>
        <v>96.909226807167784</v>
      </c>
      <c r="E65" s="358">
        <v>106.70963642219606</v>
      </c>
      <c r="F65" s="187">
        <v>371.33422249092877</v>
      </c>
      <c r="G65" s="187">
        <v>408.57402920447379</v>
      </c>
      <c r="H65" s="187">
        <v>720.34547287620967</v>
      </c>
      <c r="I65" s="187">
        <v>796.99493374605447</v>
      </c>
      <c r="J65" s="187">
        <v>379.92134223175282</v>
      </c>
      <c r="K65" s="187">
        <v>287.15652991803995</v>
      </c>
      <c r="L65" s="187">
        <v>299.61700978342179</v>
      </c>
      <c r="M65" s="187">
        <v>126.62300800030162</v>
      </c>
      <c r="N65" s="187">
        <v>218.43816536267232</v>
      </c>
      <c r="O65" s="187"/>
    </row>
    <row r="66" spans="1:15" x14ac:dyDescent="0.3">
      <c r="A66" s="186" t="s">
        <v>30</v>
      </c>
      <c r="B66" s="187">
        <v>5.0065348442183515</v>
      </c>
      <c r="C66" s="187">
        <v>0.22421571130366877</v>
      </c>
      <c r="D66" s="187">
        <v>0.29737971353021847</v>
      </c>
      <c r="E66" s="358">
        <v>0.35207670517535411</v>
      </c>
      <c r="F66" s="188">
        <v>0.48864538740068214</v>
      </c>
      <c r="G66" s="189">
        <v>1.3751318635902041</v>
      </c>
      <c r="H66" s="190">
        <v>234.29310073480005</v>
      </c>
      <c r="I66" s="190">
        <v>349.05604577255423</v>
      </c>
      <c r="J66" s="190">
        <v>280.84924994803958</v>
      </c>
      <c r="K66" s="190">
        <v>329.59305002508802</v>
      </c>
      <c r="L66" s="187">
        <v>-10.277113596923256</v>
      </c>
      <c r="M66" s="187">
        <v>145.29894699367313</v>
      </c>
      <c r="N66" s="187">
        <v>236.15091534064268</v>
      </c>
      <c r="O66" s="187"/>
    </row>
    <row r="67" spans="1:15" x14ac:dyDescent="0.3">
      <c r="A67" s="191" t="s">
        <v>230</v>
      </c>
      <c r="B67" s="192">
        <f>B65-B66</f>
        <v>69.692909160104179</v>
      </c>
      <c r="C67" s="192">
        <f>C65-C66</f>
        <v>57.203937347009322</v>
      </c>
      <c r="D67" s="192">
        <f>D65-D66</f>
        <v>96.611847093637564</v>
      </c>
      <c r="E67" s="446">
        <v>106.35755971702071</v>
      </c>
      <c r="F67" s="192">
        <v>370.84557710352806</v>
      </c>
      <c r="G67" s="192">
        <v>407.1988973408836</v>
      </c>
      <c r="H67" s="192">
        <v>486.05237214140959</v>
      </c>
      <c r="I67" s="192">
        <v>447.93888797350024</v>
      </c>
      <c r="J67" s="192">
        <v>99.072092283713232</v>
      </c>
      <c r="K67" s="192">
        <v>-42.436520107048068</v>
      </c>
      <c r="L67" s="187">
        <v>309.89412338034504</v>
      </c>
      <c r="M67" s="187">
        <v>-18.675938993371503</v>
      </c>
      <c r="N67" s="187">
        <v>-17.712749977970361</v>
      </c>
      <c r="O67" s="187"/>
    </row>
    <row r="68" spans="1:15" x14ac:dyDescent="0.3">
      <c r="A68" s="186" t="s">
        <v>231</v>
      </c>
      <c r="B68" s="187">
        <v>65.244</v>
      </c>
      <c r="C68" s="187">
        <v>11.395</v>
      </c>
      <c r="D68" s="187">
        <v>98.072999999999993</v>
      </c>
      <c r="E68" s="358">
        <v>211.00200000000001</v>
      </c>
      <c r="F68" s="188">
        <v>179.32849800000008</v>
      </c>
      <c r="G68" s="188">
        <v>337.76413500000001</v>
      </c>
      <c r="H68" s="188">
        <v>531.23222200000043</v>
      </c>
      <c r="I68" s="188">
        <v>414.48709099999979</v>
      </c>
      <c r="J68" s="188">
        <v>141.66217558277026</v>
      </c>
      <c r="K68" s="190">
        <v>-100.46711199999993</v>
      </c>
      <c r="L68" s="187">
        <v>92.117757999999938</v>
      </c>
      <c r="M68" s="187">
        <v>-75.781436230407749</v>
      </c>
      <c r="N68" s="187">
        <v>3.3387075200000798</v>
      </c>
      <c r="O68" s="187"/>
    </row>
    <row r="69" spans="1:15" x14ac:dyDescent="0.3">
      <c r="A69" s="186" t="s">
        <v>232</v>
      </c>
      <c r="B69" s="187" t="s">
        <v>180</v>
      </c>
      <c r="C69" s="187" t="s">
        <v>180</v>
      </c>
      <c r="D69" s="187" t="s">
        <v>180</v>
      </c>
      <c r="E69" s="358">
        <v>-126.46239999999999</v>
      </c>
      <c r="F69" s="188">
        <v>141.65683349250006</v>
      </c>
      <c r="G69" s="189">
        <v>-2.1425740000000224</v>
      </c>
      <c r="H69" s="190">
        <v>-34.094617510000091</v>
      </c>
      <c r="I69" s="190">
        <v>10.042715999999878</v>
      </c>
      <c r="J69" s="190">
        <v>-39.288381999999856</v>
      </c>
      <c r="K69" s="190">
        <v>64.643139160000089</v>
      </c>
      <c r="L69" s="187">
        <v>19.183145044999552</v>
      </c>
      <c r="M69" s="187">
        <v>-6.5437402299997212</v>
      </c>
      <c r="N69" s="187">
        <v>24.809931717840904</v>
      </c>
      <c r="O69" s="187"/>
    </row>
    <row r="70" spans="1:15" x14ac:dyDescent="0.3">
      <c r="A70" s="186" t="s">
        <v>233</v>
      </c>
      <c r="B70" s="187" t="s">
        <v>180</v>
      </c>
      <c r="C70" s="187" t="s">
        <v>180</v>
      </c>
      <c r="D70" s="187" t="s">
        <v>180</v>
      </c>
      <c r="E70" s="358">
        <v>0</v>
      </c>
      <c r="F70" s="188">
        <v>0</v>
      </c>
      <c r="G70" s="189">
        <v>0</v>
      </c>
      <c r="H70" s="190">
        <v>153.96098850230004</v>
      </c>
      <c r="I70" s="190">
        <v>210.12960730319634</v>
      </c>
      <c r="J70" s="190">
        <v>172.23294148072296</v>
      </c>
      <c r="K70" s="190">
        <v>275.45847933625004</v>
      </c>
      <c r="L70" s="187">
        <v>210.10197811454003</v>
      </c>
      <c r="M70" s="187">
        <v>70.705093338628586</v>
      </c>
      <c r="N70" s="187">
        <v>58.100618821985776</v>
      </c>
      <c r="O70" s="187"/>
    </row>
    <row r="71" spans="1:15" x14ac:dyDescent="0.3">
      <c r="A71" s="186" t="s">
        <v>234</v>
      </c>
      <c r="B71" s="187" t="s">
        <v>180</v>
      </c>
      <c r="C71" s="187" t="s">
        <v>180</v>
      </c>
      <c r="D71" s="187" t="s">
        <v>180</v>
      </c>
      <c r="E71" s="358">
        <v>0</v>
      </c>
      <c r="F71" s="187">
        <v>0</v>
      </c>
      <c r="G71" s="187">
        <v>0</v>
      </c>
      <c r="H71" s="187">
        <v>0</v>
      </c>
      <c r="I71" s="187">
        <v>41.668033525271838</v>
      </c>
      <c r="J71" s="187">
        <v>41.962348225452935</v>
      </c>
      <c r="K71" s="190">
        <v>102.80441322178997</v>
      </c>
      <c r="L71" s="187">
        <v>-52.516663546119993</v>
      </c>
      <c r="M71" s="187" t="s">
        <v>622</v>
      </c>
      <c r="N71" s="187" t="s">
        <v>622</v>
      </c>
      <c r="O71" s="187"/>
    </row>
    <row r="72" spans="1:15" x14ac:dyDescent="0.3">
      <c r="A72" s="186" t="s">
        <v>235</v>
      </c>
      <c r="B72" s="188">
        <v>4.4489091601041215</v>
      </c>
      <c r="C72" s="188">
        <v>45.808937347009262</v>
      </c>
      <c r="D72" s="188">
        <v>-1.461152906362571</v>
      </c>
      <c r="E72" s="359">
        <v>22.170036422196347</v>
      </c>
      <c r="F72" s="188">
        <v>50.348890998428892</v>
      </c>
      <c r="G72" s="189">
        <v>72.95246820447457</v>
      </c>
      <c r="H72" s="189">
        <v>69.246879883908704</v>
      </c>
      <c r="I72" s="189">
        <v>120.66748591758663</v>
      </c>
      <c r="J72" s="189">
        <v>63.352258942805733</v>
      </c>
      <c r="K72" s="189">
        <v>-55.282389800000189</v>
      </c>
      <c r="L72" s="187">
        <v>30.730792169999898</v>
      </c>
      <c r="M72" s="187">
        <v>138.2430911220801</v>
      </c>
      <c r="N72" s="187">
        <v>132.18890730284551</v>
      </c>
      <c r="O72" s="187"/>
    </row>
    <row r="73" spans="1:15" x14ac:dyDescent="0.3">
      <c r="A73" s="193"/>
      <c r="B73" s="194"/>
      <c r="C73" s="194"/>
      <c r="D73" s="194"/>
      <c r="E73" s="447"/>
      <c r="F73" s="194"/>
      <c r="G73" s="195"/>
      <c r="H73" s="195"/>
      <c r="I73" s="196"/>
      <c r="J73" s="196"/>
      <c r="K73" s="196"/>
    </row>
    <row r="74" spans="1:15" x14ac:dyDescent="0.3">
      <c r="A74" s="197" t="s">
        <v>236</v>
      </c>
      <c r="B74" s="198"/>
      <c r="C74" s="198"/>
      <c r="D74" s="198"/>
      <c r="E74" s="448"/>
      <c r="F74" s="198"/>
      <c r="G74" s="199"/>
      <c r="H74" s="199"/>
      <c r="I74" s="200"/>
      <c r="J74" s="201"/>
      <c r="K74" s="201"/>
    </row>
    <row r="75" spans="1:15" x14ac:dyDescent="0.3">
      <c r="A75" s="202" t="s">
        <v>237</v>
      </c>
      <c r="B75" s="203"/>
      <c r="C75" s="203"/>
      <c r="D75" s="203"/>
      <c r="E75" s="449"/>
      <c r="F75" s="203"/>
      <c r="G75" s="203"/>
      <c r="H75" s="203"/>
      <c r="I75" s="203"/>
      <c r="J75" s="203"/>
      <c r="K75" s="204"/>
    </row>
    <row r="76" spans="1:15" x14ac:dyDescent="0.3">
      <c r="A76" s="205" t="s">
        <v>238</v>
      </c>
      <c r="B76" s="206"/>
      <c r="C76" s="206"/>
      <c r="D76" s="206"/>
      <c r="E76" s="450"/>
      <c r="F76" s="206"/>
      <c r="G76" s="178"/>
      <c r="H76" s="178"/>
      <c r="I76" s="178"/>
      <c r="J76" s="178"/>
      <c r="K76" s="178"/>
    </row>
    <row r="77" spans="1:15" x14ac:dyDescent="0.3">
      <c r="A77" s="205" t="s">
        <v>239</v>
      </c>
      <c r="B77" s="206"/>
      <c r="C77" s="206"/>
      <c r="D77" s="206"/>
      <c r="E77" s="450"/>
      <c r="F77" s="206"/>
      <c r="G77" s="178"/>
      <c r="H77" s="178"/>
      <c r="I77" s="178"/>
      <c r="J77" s="178"/>
      <c r="K77" s="178"/>
    </row>
    <row r="78" spans="1:15" x14ac:dyDescent="0.3">
      <c r="A78" s="38" t="s">
        <v>38</v>
      </c>
      <c r="B78" s="178"/>
      <c r="C78" s="178"/>
      <c r="D78" s="178"/>
      <c r="E78" s="451"/>
      <c r="F78" s="178"/>
      <c r="G78" s="178"/>
      <c r="H78" s="178"/>
      <c r="I78" s="178"/>
      <c r="J78" s="178"/>
      <c r="K78" s="178"/>
    </row>
    <row r="79" spans="1:15" x14ac:dyDescent="0.3">
      <c r="B79" s="8"/>
      <c r="C79" s="9"/>
      <c r="D79" s="850" t="s">
        <v>23</v>
      </c>
      <c r="E79" s="850"/>
      <c r="F79" s="850"/>
      <c r="G79" s="850"/>
      <c r="H79" s="850"/>
      <c r="I79" s="850"/>
      <c r="J79" s="850"/>
      <c r="K79" s="850"/>
    </row>
    <row r="80" spans="1:15" x14ac:dyDescent="0.3">
      <c r="A80" t="s">
        <v>245</v>
      </c>
      <c r="B80" s="11">
        <v>1991</v>
      </c>
      <c r="C80" s="12">
        <v>1992</v>
      </c>
      <c r="D80" s="13">
        <v>1993</v>
      </c>
      <c r="E80" s="308">
        <v>1994</v>
      </c>
      <c r="F80" s="13">
        <v>1995</v>
      </c>
      <c r="G80" s="14">
        <v>1996</v>
      </c>
      <c r="H80" s="14">
        <v>1997</v>
      </c>
      <c r="I80" s="15" t="s">
        <v>587</v>
      </c>
      <c r="J80" s="15" t="s">
        <v>588</v>
      </c>
      <c r="K80" s="15" t="s">
        <v>585</v>
      </c>
      <c r="L80" s="15" t="s">
        <v>613</v>
      </c>
      <c r="M80" s="15" t="s">
        <v>615</v>
      </c>
      <c r="N80" s="15" t="s">
        <v>619</v>
      </c>
      <c r="O80" s="551" t="s">
        <v>774</v>
      </c>
    </row>
    <row r="81" spans="1:15" x14ac:dyDescent="0.3">
      <c r="A81" s="10" t="s">
        <v>246</v>
      </c>
      <c r="B81" s="209">
        <f>B58+B36</f>
        <v>3900.6507106312179</v>
      </c>
      <c r="C81" s="209">
        <f t="shared" ref="C81:N81" si="0">C58+C36</f>
        <v>7205.788750979892</v>
      </c>
      <c r="D81" s="209">
        <f t="shared" si="0"/>
        <v>10981.733391019523</v>
      </c>
      <c r="E81" s="452">
        <f t="shared" si="0"/>
        <v>16816.406423726396</v>
      </c>
      <c r="F81" s="209">
        <f t="shared" si="0"/>
        <v>21525.425015495079</v>
      </c>
      <c r="G81" s="209">
        <f t="shared" si="0"/>
        <v>25424.980015377037</v>
      </c>
      <c r="H81" s="209">
        <f t="shared" si="0"/>
        <v>29998.79454415663</v>
      </c>
      <c r="I81" s="209">
        <f t="shared" si="0"/>
        <v>31552.563043496986</v>
      </c>
      <c r="J81" s="209">
        <f t="shared" si="0"/>
        <v>31623.658977895189</v>
      </c>
      <c r="K81" s="209">
        <f t="shared" si="0"/>
        <v>34327.553929628477</v>
      </c>
      <c r="L81" s="209">
        <f t="shared" si="0"/>
        <v>33819.509851300536</v>
      </c>
      <c r="M81" s="209">
        <f t="shared" si="0"/>
        <v>35822.933192424323</v>
      </c>
      <c r="N81" s="209">
        <f t="shared" si="0"/>
        <v>39130.4336729684</v>
      </c>
      <c r="O81" s="209"/>
    </row>
    <row r="82" spans="1:15" x14ac:dyDescent="0.3">
      <c r="A82" s="211" t="s">
        <v>247</v>
      </c>
      <c r="B82" s="210">
        <f t="shared" ref="B82:K82" si="1">B9-B81</f>
        <v>-138.28500000000031</v>
      </c>
      <c r="C82" s="210">
        <f t="shared" si="1"/>
        <v>-243.9340000000002</v>
      </c>
      <c r="D82" s="210">
        <f t="shared" si="1"/>
        <v>-271.21899999999914</v>
      </c>
      <c r="E82" s="381">
        <f t="shared" si="1"/>
        <v>-528.77100000000064</v>
      </c>
      <c r="F82" s="210">
        <f t="shared" si="1"/>
        <v>-935.67900000000373</v>
      </c>
      <c r="G82" s="210">
        <f t="shared" si="1"/>
        <v>-1113.9729999999981</v>
      </c>
      <c r="H82" s="210">
        <f t="shared" si="1"/>
        <v>-1501.3600000000006</v>
      </c>
      <c r="I82" s="210">
        <f t="shared" si="1"/>
        <v>-1746.8391469999988</v>
      </c>
      <c r="J82" s="210">
        <f t="shared" si="1"/>
        <v>-2351.0804642377589</v>
      </c>
      <c r="K82" s="210">
        <f t="shared" si="1"/>
        <v>-2746.9470573068174</v>
      </c>
      <c r="L82" s="210">
        <f>L9-L81</f>
        <v>-3028.1600070024615</v>
      </c>
      <c r="M82" s="210">
        <f>M9-M81</f>
        <v>-3514.969729670629</v>
      </c>
      <c r="N82" s="210">
        <f>N9-N81</f>
        <v>-3875.559512853084</v>
      </c>
      <c r="O82" s="210"/>
    </row>
    <row r="83" spans="1:15" x14ac:dyDescent="0.3">
      <c r="A83" t="s">
        <v>248</v>
      </c>
      <c r="B83" s="209">
        <f>B67+B43</f>
        <v>-590.32591291771291</v>
      </c>
      <c r="C83" s="209">
        <f t="shared" ref="C83:N83" si="2">C67+C43</f>
        <v>-1693.2425499300487</v>
      </c>
      <c r="D83" s="209">
        <f t="shared" si="2"/>
        <v>-2418.0326535947083</v>
      </c>
      <c r="E83" s="452">
        <f t="shared" si="2"/>
        <v>-3017.0634387301443</v>
      </c>
      <c r="F83" s="209">
        <f t="shared" si="2"/>
        <v>-3727.7805736143755</v>
      </c>
      <c r="G83" s="209">
        <f t="shared" si="2"/>
        <v>-1573.070304784231</v>
      </c>
      <c r="H83" s="209">
        <f t="shared" si="2"/>
        <v>-773.8143454977909</v>
      </c>
      <c r="I83" s="209">
        <f t="shared" si="2"/>
        <v>-1429.8862678156265</v>
      </c>
      <c r="J83" s="209">
        <f t="shared" si="2"/>
        <v>-5385.7273361966963</v>
      </c>
      <c r="K83" s="209">
        <f t="shared" si="2"/>
        <v>-5239.5876229148716</v>
      </c>
      <c r="L83" s="209">
        <f t="shared" si="2"/>
        <v>-4979.9708813309062</v>
      </c>
      <c r="M83" s="209">
        <f t="shared" si="2"/>
        <v>-4282.1138737561523</v>
      </c>
      <c r="N83" s="209">
        <f t="shared" si="2"/>
        <v>-3755.7761086016794</v>
      </c>
      <c r="O83" s="209"/>
    </row>
    <row r="84" spans="1:15" x14ac:dyDescent="0.3">
      <c r="A84" s="211" t="s">
        <v>247</v>
      </c>
      <c r="B84" s="210">
        <f t="shared" ref="B84:K84" si="3">B16-B83</f>
        <v>0</v>
      </c>
      <c r="C84" s="210">
        <f t="shared" si="3"/>
        <v>-1.8189894035458565E-12</v>
      </c>
      <c r="D84" s="210">
        <f t="shared" si="3"/>
        <v>0</v>
      </c>
      <c r="E84" s="381">
        <f t="shared" si="3"/>
        <v>0</v>
      </c>
      <c r="F84" s="210">
        <f t="shared" si="3"/>
        <v>0</v>
      </c>
      <c r="G84" s="210">
        <f t="shared" si="3"/>
        <v>3.1832314562052488E-12</v>
      </c>
      <c r="H84" s="210">
        <f t="shared" si="3"/>
        <v>1.0231815394945443E-12</v>
      </c>
      <c r="I84" s="210">
        <f t="shared" si="3"/>
        <v>3.637978807091713E-12</v>
      </c>
      <c r="J84" s="210">
        <f t="shared" si="3"/>
        <v>0</v>
      </c>
      <c r="K84" s="210">
        <f t="shared" si="3"/>
        <v>0</v>
      </c>
      <c r="L84" s="210">
        <f>L16-L83</f>
        <v>0</v>
      </c>
      <c r="M84" s="210">
        <f>M16-M83</f>
        <v>0</v>
      </c>
      <c r="N84" s="210">
        <f>N16-N83</f>
        <v>0</v>
      </c>
      <c r="O84" s="210"/>
    </row>
  </sheetData>
  <mergeCells count="3">
    <mergeCell ref="D6:K6"/>
    <mergeCell ref="D33:K33"/>
    <mergeCell ref="D79:K79"/>
  </mergeCells>
  <phoneticPr fontId="0" type="noConversion"/>
  <pageMargins left="0.75" right="0.75" top="1" bottom="1" header="0" footer="0"/>
  <headerFooter alignWithMargins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65A4-2EC1-48C3-917E-9F28AB898FC9}">
  <dimension ref="A2:P18"/>
  <sheetViews>
    <sheetView workbookViewId="0">
      <pane xSplit="1" ySplit="5" topLeftCell="L6" activePane="bottomRight" state="frozen"/>
      <selection pane="topRight" activeCell="B1" sqref="B1"/>
      <selection pane="bottomLeft" activeCell="A6" sqref="A6"/>
      <selection pane="bottomRight" activeCell="O13" sqref="O13"/>
    </sheetView>
  </sheetViews>
  <sheetFormatPr defaultColWidth="11" defaultRowHeight="13" x14ac:dyDescent="0.3"/>
  <cols>
    <col min="1" max="1" width="35.44140625" customWidth="1"/>
  </cols>
  <sheetData>
    <row r="2" spans="1:16" x14ac:dyDescent="0.3">
      <c r="A2" s="175" t="s">
        <v>240</v>
      </c>
      <c r="B2" s="176"/>
      <c r="C2" s="176"/>
      <c r="D2" s="176"/>
      <c r="E2" s="176"/>
      <c r="F2" s="176"/>
      <c r="G2" s="177"/>
      <c r="H2" s="178"/>
      <c r="I2" s="178"/>
      <c r="J2" s="178"/>
      <c r="K2" s="207"/>
    </row>
    <row r="3" spans="1:16" x14ac:dyDescent="0.3">
      <c r="A3" s="179"/>
      <c r="B3" s="176"/>
      <c r="C3" s="176"/>
      <c r="D3" s="176"/>
      <c r="E3" s="176"/>
      <c r="F3" s="176"/>
      <c r="G3" s="177"/>
      <c r="H3" s="178"/>
      <c r="I3" s="178"/>
      <c r="J3" s="178"/>
      <c r="K3" s="207"/>
    </row>
    <row r="4" spans="1:16" x14ac:dyDescent="0.3">
      <c r="A4" s="180" t="s">
        <v>192</v>
      </c>
      <c r="B4" s="181"/>
      <c r="C4" s="182"/>
      <c r="D4" s="183" t="s">
        <v>23</v>
      </c>
      <c r="E4" s="182"/>
      <c r="F4" s="182"/>
      <c r="G4" s="182"/>
      <c r="H4" s="182"/>
      <c r="I4" s="182"/>
      <c r="J4" s="182"/>
      <c r="K4" s="182"/>
    </row>
    <row r="5" spans="1:16" x14ac:dyDescent="0.3">
      <c r="A5" s="184"/>
      <c r="B5" s="185">
        <v>1991</v>
      </c>
      <c r="C5" s="185">
        <v>1992</v>
      </c>
      <c r="D5" s="185">
        <v>1993</v>
      </c>
      <c r="E5" s="357">
        <v>1994</v>
      </c>
      <c r="F5" s="185">
        <v>1995</v>
      </c>
      <c r="G5" s="185">
        <v>1996</v>
      </c>
      <c r="H5" s="185">
        <v>1997</v>
      </c>
      <c r="I5" s="185">
        <v>1998</v>
      </c>
      <c r="J5" s="185">
        <v>1999</v>
      </c>
      <c r="K5" s="185">
        <v>2000</v>
      </c>
      <c r="L5" s="185" t="s">
        <v>613</v>
      </c>
      <c r="M5" s="185" t="s">
        <v>615</v>
      </c>
      <c r="N5" s="185" t="s">
        <v>619</v>
      </c>
      <c r="O5">
        <v>2004</v>
      </c>
    </row>
    <row r="6" spans="1:16" x14ac:dyDescent="0.3">
      <c r="A6" s="184"/>
      <c r="B6" s="185"/>
      <c r="C6" s="185"/>
      <c r="D6" s="185"/>
      <c r="E6" s="357"/>
      <c r="F6" s="185"/>
      <c r="G6" s="185"/>
      <c r="H6" s="185"/>
      <c r="I6" s="185"/>
      <c r="J6" s="185"/>
      <c r="K6" s="185"/>
    </row>
    <row r="7" spans="1:16" x14ac:dyDescent="0.3">
      <c r="A7" s="186" t="s">
        <v>209</v>
      </c>
      <c r="B7" s="187">
        <v>495.214</v>
      </c>
      <c r="C7" s="187">
        <v>825.19799999999998</v>
      </c>
      <c r="D7" s="187">
        <v>1337.7579999999998</v>
      </c>
      <c r="E7" s="358">
        <v>1699.8507199999999</v>
      </c>
      <c r="F7" s="188">
        <v>2156.5801547000001</v>
      </c>
      <c r="G7" s="188">
        <v>2533.9846513299999</v>
      </c>
      <c r="H7" s="188">
        <v>3133.5505193199961</v>
      </c>
      <c r="I7" s="188">
        <v>3452.4155424600049</v>
      </c>
      <c r="J7" s="188">
        <v>3329.0730885299999</v>
      </c>
      <c r="K7" s="189">
        <v>3634.0088099999998</v>
      </c>
      <c r="L7" s="189">
        <v>3731.8711858116003</v>
      </c>
      <c r="M7" s="189">
        <v>4126.7196433009676</v>
      </c>
      <c r="N7" s="189">
        <v>4624.3479779079998</v>
      </c>
      <c r="O7" s="730">
        <v>5184.761704830139</v>
      </c>
    </row>
    <row r="8" spans="1:16" x14ac:dyDescent="0.3">
      <c r="A8" s="186" t="s">
        <v>241</v>
      </c>
      <c r="B8" s="187">
        <f>B9+B10</f>
        <v>488.47199999999998</v>
      </c>
      <c r="C8" s="187">
        <f>C9+C10</f>
        <v>885.77700000000004</v>
      </c>
      <c r="D8" s="187">
        <f>D9+D10</f>
        <v>1307.06</v>
      </c>
      <c r="E8" s="358">
        <v>1735.2239999999999</v>
      </c>
      <c r="F8" s="187">
        <v>2150.982</v>
      </c>
      <c r="G8" s="187">
        <v>2624.2449442299999</v>
      </c>
      <c r="H8" s="187">
        <v>3164.02</v>
      </c>
      <c r="I8" s="187">
        <v>3380.0819999999999</v>
      </c>
      <c r="J8" s="187">
        <v>3495.1459880000002</v>
      </c>
      <c r="K8" s="187">
        <v>3816.1170000000002</v>
      </c>
      <c r="L8" s="189">
        <v>3793.0561217700001</v>
      </c>
      <c r="M8" s="189">
        <v>4104.5282844799985</v>
      </c>
      <c r="N8" s="189">
        <v>4456.9730368347882</v>
      </c>
      <c r="O8" s="730">
        <v>4951.5615050479046</v>
      </c>
    </row>
    <row r="9" spans="1:16" x14ac:dyDescent="0.3">
      <c r="A9" s="186" t="s">
        <v>242</v>
      </c>
      <c r="B9" s="187">
        <v>316.90300000000002</v>
      </c>
      <c r="C9" s="187">
        <v>582.35900000000004</v>
      </c>
      <c r="D9" s="187">
        <v>919.76800000000003</v>
      </c>
      <c r="E9" s="358">
        <v>1085.78</v>
      </c>
      <c r="F9" s="188">
        <v>1284.7539999999999</v>
      </c>
      <c r="G9" s="189">
        <v>1522.6189999999999</v>
      </c>
      <c r="H9" s="190">
        <v>1755.057</v>
      </c>
      <c r="I9" s="190">
        <v>1931.829</v>
      </c>
      <c r="J9" s="190">
        <v>2097.7429999999999</v>
      </c>
      <c r="K9" s="189">
        <v>2191.3009999999999</v>
      </c>
      <c r="L9" s="189">
        <v>2190.9229400000004</v>
      </c>
      <c r="M9" s="189">
        <v>2521.0058098999989</v>
      </c>
      <c r="N9" s="189">
        <v>2691.3524315247878</v>
      </c>
      <c r="O9" s="730">
        <v>3173.219731540059</v>
      </c>
      <c r="P9" s="209"/>
    </row>
    <row r="10" spans="1:16" x14ac:dyDescent="0.3">
      <c r="A10" s="186" t="s">
        <v>243</v>
      </c>
      <c r="B10" s="187">
        <v>171.56899999999999</v>
      </c>
      <c r="C10" s="187">
        <v>303.41800000000001</v>
      </c>
      <c r="D10" s="187">
        <v>387.29199999999997</v>
      </c>
      <c r="E10" s="358">
        <v>649.44399999999996</v>
      </c>
      <c r="F10" s="188">
        <v>866.22799999999995</v>
      </c>
      <c r="G10" s="188">
        <v>1101.62594423</v>
      </c>
      <c r="H10" s="188">
        <v>1408.963</v>
      </c>
      <c r="I10" s="188">
        <v>1448.2529999999999</v>
      </c>
      <c r="J10" s="188">
        <v>1397.4029880000001</v>
      </c>
      <c r="K10" s="189">
        <v>1624.816</v>
      </c>
      <c r="L10" s="189">
        <v>1602.1331817699997</v>
      </c>
      <c r="M10" s="189">
        <v>1583.5224745799999</v>
      </c>
      <c r="N10" s="189">
        <v>1765.62060531</v>
      </c>
      <c r="O10" s="730">
        <v>1778.3417735078458</v>
      </c>
    </row>
    <row r="11" spans="1:16" x14ac:dyDescent="0.3">
      <c r="A11" s="186" t="s">
        <v>244</v>
      </c>
      <c r="B11" s="187">
        <v>9.4559999999999995</v>
      </c>
      <c r="C11" s="187">
        <v>28.875</v>
      </c>
      <c r="D11" s="187">
        <v>30.210999999999999</v>
      </c>
      <c r="E11" s="358">
        <v>46.628</v>
      </c>
      <c r="F11" s="188">
        <v>68.573999999999998</v>
      </c>
      <c r="G11" s="189">
        <v>78.2</v>
      </c>
      <c r="H11" s="190">
        <v>44.234000000000002</v>
      </c>
      <c r="I11" s="190">
        <v>51.417000000000002</v>
      </c>
      <c r="J11" s="190">
        <v>51.01</v>
      </c>
      <c r="K11" s="189">
        <v>289.92919000000001</v>
      </c>
      <c r="L11" s="189">
        <v>227.64398322459999</v>
      </c>
      <c r="M11" s="189">
        <v>153.74613055999998</v>
      </c>
      <c r="N11" s="189">
        <v>166.97620160619999</v>
      </c>
      <c r="O11" s="730">
        <v>9.58607671590282</v>
      </c>
    </row>
    <row r="12" spans="1:16" x14ac:dyDescent="0.3">
      <c r="A12" s="186" t="s">
        <v>229</v>
      </c>
      <c r="B12" s="187">
        <f>B7-B8+B11</f>
        <v>16.198000000000018</v>
      </c>
      <c r="C12" s="187">
        <f>C7-C8+C11</f>
        <v>-31.704000000000065</v>
      </c>
      <c r="D12" s="187">
        <f>D7-D8+D11</f>
        <v>60.908999999999864</v>
      </c>
      <c r="E12" s="358">
        <v>11.254719999999978</v>
      </c>
      <c r="F12" s="187">
        <v>74.172154700000121</v>
      </c>
      <c r="G12" s="187">
        <v>-12.060292899999965</v>
      </c>
      <c r="H12" s="187">
        <v>13.764519319996076</v>
      </c>
      <c r="I12" s="187">
        <v>123.75054246000499</v>
      </c>
      <c r="J12" s="187">
        <v>-115.06289947000027</v>
      </c>
      <c r="K12" s="187">
        <v>107.82099999999963</v>
      </c>
      <c r="L12" s="189">
        <v>166.45904726620017</v>
      </c>
      <c r="M12" s="189">
        <v>175.93748938096905</v>
      </c>
      <c r="N12" s="189">
        <v>334.35114267941162</v>
      </c>
      <c r="O12" s="730">
        <f>+O13+O14</f>
        <v>374.51076702417402</v>
      </c>
    </row>
    <row r="13" spans="1:16" x14ac:dyDescent="0.3">
      <c r="A13" s="186" t="s">
        <v>30</v>
      </c>
      <c r="B13" s="187">
        <v>2.4119999999999999</v>
      </c>
      <c r="C13" s="187">
        <v>8.5619999999999994</v>
      </c>
      <c r="D13" s="187">
        <v>19.402999999999999</v>
      </c>
      <c r="E13" s="358">
        <v>27.855</v>
      </c>
      <c r="F13" s="188">
        <v>40.128999999999998</v>
      </c>
      <c r="G13" s="188">
        <v>35.628999999999998</v>
      </c>
      <c r="H13" s="188">
        <v>55.103000000000002</v>
      </c>
      <c r="I13" s="188">
        <v>55.357999999999997</v>
      </c>
      <c r="J13" s="188">
        <v>75.668000000000006</v>
      </c>
      <c r="K13" s="189">
        <v>90.385000000000005</v>
      </c>
      <c r="L13" s="189">
        <v>109.57872699999996</v>
      </c>
      <c r="M13" s="189">
        <v>90.711600000000004</v>
      </c>
      <c r="N13" s="189">
        <v>111</v>
      </c>
      <c r="O13" s="730">
        <v>131.72449052603687</v>
      </c>
    </row>
    <row r="14" spans="1:16" x14ac:dyDescent="0.3">
      <c r="A14" s="186" t="s">
        <v>230</v>
      </c>
      <c r="B14" s="188">
        <f>B12-B13</f>
        <v>13.786000000000019</v>
      </c>
      <c r="C14" s="188">
        <f>C12-C13</f>
        <v>-40.266000000000062</v>
      </c>
      <c r="D14" s="188">
        <f>D12-D13</f>
        <v>41.505999999999865</v>
      </c>
      <c r="E14" s="359">
        <v>-16.600280000000023</v>
      </c>
      <c r="F14" s="188">
        <v>34.043154700000123</v>
      </c>
      <c r="G14" s="188">
        <v>-47.689292899999963</v>
      </c>
      <c r="H14" s="188">
        <v>-41.338480680003926</v>
      </c>
      <c r="I14" s="188">
        <v>68.392542460004989</v>
      </c>
      <c r="J14" s="188">
        <v>-190.73089947000028</v>
      </c>
      <c r="K14" s="188">
        <v>17.435999999999623</v>
      </c>
      <c r="L14" s="189">
        <v>56.880320266200215</v>
      </c>
      <c r="M14" s="189">
        <v>85.225889380969051</v>
      </c>
      <c r="N14" s="189">
        <v>223.35114267941162</v>
      </c>
      <c r="O14" s="730">
        <v>242.78627649813711</v>
      </c>
    </row>
    <row r="15" spans="1:16" x14ac:dyDescent="0.3">
      <c r="A15" s="193"/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N15" s="209"/>
    </row>
    <row r="16" spans="1:16" x14ac:dyDescent="0.3">
      <c r="A16" s="141" t="s">
        <v>38</v>
      </c>
      <c r="B16" s="208"/>
      <c r="C16" s="208"/>
      <c r="D16" s="208"/>
      <c r="E16" s="208"/>
      <c r="F16" s="208"/>
      <c r="G16" s="208"/>
      <c r="H16" s="208"/>
      <c r="I16" s="208"/>
      <c r="J16" s="208"/>
      <c r="K16" s="208"/>
    </row>
    <row r="18" spans="1:1" x14ac:dyDescent="0.3">
      <c r="A18" s="594" t="s">
        <v>607</v>
      </c>
    </row>
  </sheetData>
  <phoneticPr fontId="0" type="noConversion"/>
  <pageMargins left="0.75" right="0.75" top="1" bottom="1" header="0" footer="0"/>
  <headerFooter alignWithMargins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B8A9-DECE-44A5-8D38-F9DCED210877}">
  <dimension ref="A1:O41"/>
  <sheetViews>
    <sheetView workbookViewId="0">
      <pane xSplit="1" ySplit="6" topLeftCell="L7" activePane="bottomRight" state="frozen"/>
      <selection pane="topRight" activeCell="B1" sqref="B1"/>
      <selection pane="bottomLeft" activeCell="A7" sqref="A7"/>
      <selection pane="bottomRight" activeCell="O1" sqref="O1"/>
    </sheetView>
  </sheetViews>
  <sheetFormatPr defaultColWidth="11" defaultRowHeight="13" x14ac:dyDescent="0.3"/>
  <cols>
    <col min="1" max="1" width="26.33203125" customWidth="1"/>
  </cols>
  <sheetData>
    <row r="1" spans="1:15" x14ac:dyDescent="0.3">
      <c r="A1" s="146" t="s">
        <v>191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</row>
    <row r="2" spans="1:15" x14ac:dyDescent="0.3">
      <c r="A2" s="148"/>
      <c r="B2" s="147"/>
      <c r="C2" s="147"/>
      <c r="D2" s="147"/>
      <c r="E2" s="147"/>
      <c r="F2" s="147"/>
      <c r="G2" s="147"/>
      <c r="H2" s="147"/>
      <c r="I2" s="147"/>
      <c r="J2" s="147"/>
      <c r="K2" s="147"/>
    </row>
    <row r="3" spans="1:15" x14ac:dyDescent="0.3">
      <c r="A3" s="149" t="s">
        <v>773</v>
      </c>
      <c r="B3" s="150"/>
      <c r="C3" s="150"/>
      <c r="D3" s="151"/>
      <c r="E3" s="151"/>
      <c r="F3" s="151"/>
      <c r="G3" s="152"/>
      <c r="H3" s="147"/>
      <c r="I3" s="147"/>
      <c r="J3" s="147"/>
      <c r="K3" s="147"/>
    </row>
    <row r="4" spans="1:15" x14ac:dyDescent="0.3">
      <c r="A4" s="153"/>
      <c r="B4" s="150"/>
      <c r="C4" s="150"/>
      <c r="D4" s="151"/>
      <c r="E4" s="151"/>
      <c r="F4" s="151"/>
      <c r="G4" s="152"/>
      <c r="H4" s="147"/>
      <c r="I4" s="147"/>
      <c r="J4" s="147"/>
      <c r="K4" s="147"/>
    </row>
    <row r="5" spans="1:15" x14ac:dyDescent="0.3">
      <c r="A5" s="154" t="s">
        <v>192</v>
      </c>
      <c r="B5" s="155"/>
      <c r="C5" s="156"/>
      <c r="D5" s="155" t="s">
        <v>23</v>
      </c>
      <c r="E5" s="156"/>
      <c r="F5" s="156"/>
      <c r="G5" s="156"/>
      <c r="H5" s="156"/>
      <c r="I5" s="156"/>
      <c r="J5" s="156"/>
      <c r="K5" s="156"/>
    </row>
    <row r="6" spans="1:15" x14ac:dyDescent="0.3">
      <c r="A6" s="157"/>
      <c r="B6" s="158">
        <v>1991</v>
      </c>
      <c r="C6" s="158">
        <v>1992</v>
      </c>
      <c r="D6" s="158">
        <v>1993</v>
      </c>
      <c r="E6" s="158">
        <v>1994</v>
      </c>
      <c r="F6" s="158">
        <v>1995</v>
      </c>
      <c r="G6" s="158">
        <v>1996</v>
      </c>
      <c r="H6" s="158">
        <v>1997</v>
      </c>
      <c r="I6" s="158">
        <v>1998</v>
      </c>
      <c r="J6" s="158">
        <v>1999</v>
      </c>
      <c r="K6" s="158">
        <v>2000</v>
      </c>
      <c r="L6" s="595" t="s">
        <v>613</v>
      </c>
      <c r="M6" s="595" t="s">
        <v>615</v>
      </c>
      <c r="N6" s="595" t="s">
        <v>619</v>
      </c>
      <c r="O6">
        <v>2004</v>
      </c>
    </row>
    <row r="7" spans="1:15" x14ac:dyDescent="0.3">
      <c r="A7" s="157"/>
      <c r="B7" s="158"/>
      <c r="C7" s="158"/>
      <c r="D7" s="158"/>
      <c r="E7" s="158"/>
      <c r="F7" s="158"/>
      <c r="G7" s="158"/>
      <c r="H7" s="158"/>
      <c r="I7" s="158"/>
      <c r="J7" s="158"/>
      <c r="K7" s="158"/>
    </row>
    <row r="8" spans="1:15" x14ac:dyDescent="0.3">
      <c r="A8" s="159" t="s">
        <v>209</v>
      </c>
      <c r="B8" s="160">
        <f>SUM(B9:B14)</f>
        <v>4083.45</v>
      </c>
      <c r="C8" s="160">
        <f>SUM(C9:C14)</f>
        <v>6105.348</v>
      </c>
      <c r="D8" s="160">
        <f>SUM(D9:D14)</f>
        <v>8916.6319999999996</v>
      </c>
      <c r="E8" s="160">
        <v>11272.088</v>
      </c>
      <c r="F8" s="160">
        <v>12485.717000000002</v>
      </c>
      <c r="G8" s="160">
        <v>12303.542999999998</v>
      </c>
      <c r="H8" s="160">
        <v>11387.6422</v>
      </c>
      <c r="I8" s="160">
        <v>9524.2683151542988</v>
      </c>
      <c r="J8" s="160">
        <v>10699.925113200001</v>
      </c>
      <c r="K8" s="160">
        <v>12913.598837860529</v>
      </c>
      <c r="L8" s="160">
        <v>11609.885127566242</v>
      </c>
      <c r="M8" s="160">
        <v>11072.4557640322</v>
      </c>
      <c r="N8" s="160">
        <v>11817.999760486668</v>
      </c>
    </row>
    <row r="9" spans="1:15" x14ac:dyDescent="0.3">
      <c r="A9" s="159" t="s">
        <v>210</v>
      </c>
      <c r="B9" s="160">
        <v>1691.1219999999998</v>
      </c>
      <c r="C9" s="160">
        <v>2716.056</v>
      </c>
      <c r="D9" s="160">
        <v>3867.18</v>
      </c>
      <c r="E9" s="160">
        <v>5153.6350000000002</v>
      </c>
      <c r="F9" s="160">
        <v>5861.0410000000002</v>
      </c>
      <c r="G9" s="160">
        <v>6187.4070000000002</v>
      </c>
      <c r="H9" s="160">
        <v>5216.4089999999997</v>
      </c>
      <c r="I9" s="160">
        <v>4285.1229999999996</v>
      </c>
      <c r="J9" s="160">
        <v>5370.0290000000005</v>
      </c>
      <c r="K9" s="160">
        <v>7723.6106386199999</v>
      </c>
      <c r="L9" s="160">
        <v>6796.5224559999997</v>
      </c>
      <c r="M9" s="160">
        <v>6531.8810670000003</v>
      </c>
      <c r="N9" s="160">
        <v>6963.8199539999996</v>
      </c>
      <c r="O9" s="731"/>
    </row>
    <row r="10" spans="1:15" x14ac:dyDescent="0.3">
      <c r="A10" s="159" t="s">
        <v>211</v>
      </c>
      <c r="B10" s="160">
        <v>237.58199999999999</v>
      </c>
      <c r="C10" s="160">
        <v>355.50799999999998</v>
      </c>
      <c r="D10" s="160">
        <v>618.28100000000006</v>
      </c>
      <c r="E10" s="160">
        <v>869.31699999999989</v>
      </c>
      <c r="F10" s="160">
        <v>1107.644</v>
      </c>
      <c r="G10" s="160">
        <v>1390.3109999999997</v>
      </c>
      <c r="H10" s="160">
        <v>1386.152</v>
      </c>
      <c r="I10" s="160">
        <v>1450.1459999999997</v>
      </c>
      <c r="J10" s="160">
        <v>1264.6789229999999</v>
      </c>
      <c r="K10" s="160">
        <v>1214.00672113</v>
      </c>
      <c r="L10" s="160">
        <v>1221.11893399</v>
      </c>
      <c r="M10" s="160">
        <v>1083.4455890000002</v>
      </c>
      <c r="N10" s="160">
        <v>1362.5431920000001</v>
      </c>
    </row>
    <row r="11" spans="1:15" x14ac:dyDescent="0.3">
      <c r="A11" s="159" t="s">
        <v>212</v>
      </c>
      <c r="B11" s="160" t="s">
        <v>213</v>
      </c>
      <c r="C11" s="160" t="s">
        <v>213</v>
      </c>
      <c r="D11" s="160" t="s">
        <v>213</v>
      </c>
      <c r="E11" s="160" t="s">
        <v>623</v>
      </c>
      <c r="F11" s="160">
        <v>735.23</v>
      </c>
      <c r="G11" s="160">
        <v>824.16</v>
      </c>
      <c r="H11" s="160">
        <v>974.65499999999997</v>
      </c>
      <c r="I11" s="160">
        <v>1196.6580000000001</v>
      </c>
      <c r="J11" s="160">
        <v>1454.239161</v>
      </c>
      <c r="K11" s="160">
        <v>1568.3344515105312</v>
      </c>
      <c r="L11" s="160">
        <v>1338.5204340106025</v>
      </c>
      <c r="M11" s="160">
        <v>1162.3980506100002</v>
      </c>
      <c r="N11" s="160">
        <v>1737.4775340000003</v>
      </c>
    </row>
    <row r="12" spans="1:15" x14ac:dyDescent="0.3">
      <c r="A12" s="159" t="s">
        <v>214</v>
      </c>
      <c r="B12" s="160">
        <v>65.543999999999997</v>
      </c>
      <c r="C12" s="160">
        <v>132.87799999999999</v>
      </c>
      <c r="D12" s="160">
        <v>207.726</v>
      </c>
      <c r="E12" s="160">
        <v>355.56200000000001</v>
      </c>
      <c r="F12" s="160">
        <v>417.91300000000001</v>
      </c>
      <c r="G12" s="160">
        <v>507.35699999999997</v>
      </c>
      <c r="H12" s="160">
        <v>621</v>
      </c>
      <c r="I12" s="160">
        <v>581.19299999999998</v>
      </c>
      <c r="J12" s="160">
        <v>626.28499999999997</v>
      </c>
      <c r="K12" s="160">
        <v>643.13682300000005</v>
      </c>
      <c r="L12" s="160">
        <v>664.77682099999993</v>
      </c>
      <c r="M12" s="160">
        <v>667.67440499999998</v>
      </c>
      <c r="N12" s="160">
        <v>680.18097299999999</v>
      </c>
    </row>
    <row r="13" spans="1:15" x14ac:dyDescent="0.3">
      <c r="A13" s="159" t="s">
        <v>215</v>
      </c>
      <c r="B13" s="160">
        <v>311.17199999999997</v>
      </c>
      <c r="C13" s="160">
        <v>515.16499999999996</v>
      </c>
      <c r="D13" s="160">
        <v>737.87400000000002</v>
      </c>
      <c r="E13" s="160">
        <v>1018.401</v>
      </c>
      <c r="F13" s="160">
        <v>1336.145</v>
      </c>
      <c r="G13" s="160">
        <v>1440.3610000000001</v>
      </c>
      <c r="H13" s="160">
        <v>1554.2690000000002</v>
      </c>
      <c r="I13" s="160">
        <v>602.90105854429999</v>
      </c>
      <c r="J13" s="160">
        <v>546.22935099999995</v>
      </c>
      <c r="K13" s="160">
        <v>257.92822799999999</v>
      </c>
      <c r="L13" s="160">
        <v>202.20292599999999</v>
      </c>
      <c r="M13" s="160">
        <v>95.932263000000006</v>
      </c>
      <c r="N13" s="160">
        <v>38.978839999999998</v>
      </c>
    </row>
    <row r="14" spans="1:15" x14ac:dyDescent="0.3">
      <c r="A14" s="159" t="s">
        <v>216</v>
      </c>
      <c r="B14" s="160">
        <v>1778.03</v>
      </c>
      <c r="C14" s="160">
        <v>2385.741</v>
      </c>
      <c r="D14" s="160">
        <v>3485.5709999999999</v>
      </c>
      <c r="E14" s="160">
        <v>3875.1729999999998</v>
      </c>
      <c r="F14" s="160">
        <v>3027.7440000000011</v>
      </c>
      <c r="G14" s="160">
        <v>1953.9469999999981</v>
      </c>
      <c r="H14" s="160">
        <v>1635.1572000000006</v>
      </c>
      <c r="I14" s="160">
        <v>1408.2472566099991</v>
      </c>
      <c r="J14" s="160">
        <v>1438.4636782000007</v>
      </c>
      <c r="K14" s="160">
        <v>1506.5819755999978</v>
      </c>
      <c r="L14" s="160">
        <v>1386.7435565656397</v>
      </c>
      <c r="M14" s="160">
        <v>1531.1243894221998</v>
      </c>
      <c r="N14" s="160">
        <v>1034.9992674866676</v>
      </c>
    </row>
    <row r="15" spans="1:15" x14ac:dyDescent="0.3">
      <c r="A15" s="159" t="s">
        <v>217</v>
      </c>
      <c r="B15" s="160">
        <f>SUM(B16:B21)</f>
        <v>3832.9919999999997</v>
      </c>
      <c r="C15" s="160">
        <f>SUM(C16:C21)</f>
        <v>5502.5570000000007</v>
      </c>
      <c r="D15" s="160">
        <f>SUM(D16:D21)</f>
        <v>7825.8870000000006</v>
      </c>
      <c r="E15" s="160">
        <v>9985.375</v>
      </c>
      <c r="F15" s="160">
        <v>11575.139000000003</v>
      </c>
      <c r="G15" s="160">
        <v>10932.350999999999</v>
      </c>
      <c r="H15" s="160">
        <v>9449.8260928665823</v>
      </c>
      <c r="I15" s="160">
        <v>8307.8124147400013</v>
      </c>
      <c r="J15" s="160">
        <v>9046.9751606277787</v>
      </c>
      <c r="K15" s="160">
        <v>12587.567228393344</v>
      </c>
      <c r="L15" s="160">
        <v>10497.876386472935</v>
      </c>
      <c r="M15" s="160">
        <v>10618.784522770002</v>
      </c>
      <c r="N15" s="160">
        <v>11116.153175396668</v>
      </c>
    </row>
    <row r="16" spans="1:15" x14ac:dyDescent="0.3">
      <c r="A16" s="159" t="s">
        <v>210</v>
      </c>
      <c r="B16" s="160">
        <v>1693.7379999999998</v>
      </c>
      <c r="C16" s="160">
        <v>2684.721</v>
      </c>
      <c r="D16" s="160">
        <v>3753.5280000000002</v>
      </c>
      <c r="E16" s="160">
        <v>4877.9069999999992</v>
      </c>
      <c r="F16" s="160">
        <v>5773.9820000000009</v>
      </c>
      <c r="G16" s="160">
        <v>5828.2110000000002</v>
      </c>
      <c r="H16" s="160">
        <v>4781.6629999999996</v>
      </c>
      <c r="I16" s="160">
        <v>4212.1370000000006</v>
      </c>
      <c r="J16" s="160">
        <v>5343.6970822629992</v>
      </c>
      <c r="K16" s="160">
        <v>7823.4115809599989</v>
      </c>
      <c r="L16" s="160">
        <v>6342.7036749999997</v>
      </c>
      <c r="M16" s="160">
        <v>6513.9299769999998</v>
      </c>
      <c r="N16" s="160">
        <v>7038.2028879999998</v>
      </c>
      <c r="O16" s="732"/>
    </row>
    <row r="17" spans="1:15" x14ac:dyDescent="0.3">
      <c r="A17" s="159" t="s">
        <v>211</v>
      </c>
      <c r="B17" s="160">
        <v>124.045</v>
      </c>
      <c r="C17" s="160">
        <v>253.98899999999998</v>
      </c>
      <c r="D17" s="160">
        <v>391.31300000000005</v>
      </c>
      <c r="E17" s="160">
        <v>590.88699999999994</v>
      </c>
      <c r="F17" s="160">
        <v>754.57799999999997</v>
      </c>
      <c r="G17" s="160">
        <v>899.29700000000003</v>
      </c>
      <c r="H17" s="160">
        <v>1019.422</v>
      </c>
      <c r="I17" s="160">
        <v>1125.6980000000001</v>
      </c>
      <c r="J17" s="160">
        <v>675.22990500000003</v>
      </c>
      <c r="K17" s="160">
        <v>781.75692185000003</v>
      </c>
      <c r="L17" s="160">
        <v>857.71378026999992</v>
      </c>
      <c r="M17" s="160">
        <v>940.51811599999996</v>
      </c>
      <c r="N17" s="160">
        <v>1149.251667</v>
      </c>
    </row>
    <row r="18" spans="1:15" x14ac:dyDescent="0.3">
      <c r="A18" s="159" t="s">
        <v>212</v>
      </c>
      <c r="B18" s="160" t="s">
        <v>213</v>
      </c>
      <c r="C18" s="160" t="s">
        <v>213</v>
      </c>
      <c r="D18" s="160" t="s">
        <v>213</v>
      </c>
      <c r="E18" s="160" t="s">
        <v>623</v>
      </c>
      <c r="F18" s="160">
        <v>607.75</v>
      </c>
      <c r="G18" s="160">
        <v>618.50300000000004</v>
      </c>
      <c r="H18" s="160">
        <v>652.27499999999998</v>
      </c>
      <c r="I18" s="160">
        <v>892.88099999999997</v>
      </c>
      <c r="J18" s="160">
        <v>1122.3055420000001</v>
      </c>
      <c r="K18" s="160">
        <v>1508.9740596933443</v>
      </c>
      <c r="L18" s="160">
        <v>958.30490120293473</v>
      </c>
      <c r="M18" s="160">
        <v>891.26311276999991</v>
      </c>
      <c r="N18" s="160">
        <v>1461.9025039999997</v>
      </c>
    </row>
    <row r="19" spans="1:15" x14ac:dyDescent="0.3">
      <c r="A19" s="161" t="s">
        <v>214</v>
      </c>
      <c r="B19" s="162">
        <v>54.637000000000008</v>
      </c>
      <c r="C19" s="162">
        <v>116.197</v>
      </c>
      <c r="D19" s="162">
        <v>136.185</v>
      </c>
      <c r="E19" s="162">
        <v>245.87100000000001</v>
      </c>
      <c r="F19" s="160">
        <v>299.86900000000003</v>
      </c>
      <c r="G19" s="162">
        <v>331.36799999999999</v>
      </c>
      <c r="H19" s="162">
        <v>391.2</v>
      </c>
      <c r="I19" s="162">
        <v>379.06</v>
      </c>
      <c r="J19" s="162">
        <v>357.02100000000007</v>
      </c>
      <c r="K19" s="163">
        <v>446.77449899999999</v>
      </c>
      <c r="L19" s="160">
        <v>400.371579</v>
      </c>
      <c r="M19" s="160">
        <v>425.93401100000005</v>
      </c>
      <c r="N19" s="160">
        <v>471.70342000000005</v>
      </c>
    </row>
    <row r="20" spans="1:15" x14ac:dyDescent="0.3">
      <c r="A20" s="161" t="s">
        <v>215</v>
      </c>
      <c r="B20" s="162">
        <v>332.90300000000002</v>
      </c>
      <c r="C20" s="162">
        <v>455.96</v>
      </c>
      <c r="D20" s="162">
        <v>683.69100000000003</v>
      </c>
      <c r="E20" s="162">
        <v>899.38700000000006</v>
      </c>
      <c r="F20" s="160">
        <v>1205.298</v>
      </c>
      <c r="G20" s="163">
        <v>1322.7619999999999</v>
      </c>
      <c r="H20" s="163">
        <v>1169.2489999999998</v>
      </c>
      <c r="I20" s="163">
        <v>605.79970040000012</v>
      </c>
      <c r="J20" s="163">
        <v>364.84297499999997</v>
      </c>
      <c r="K20" s="163">
        <v>506.71177699999998</v>
      </c>
      <c r="L20" s="160">
        <v>203.25938000000002</v>
      </c>
      <c r="M20" s="160">
        <v>114.15998799999998</v>
      </c>
      <c r="N20" s="160">
        <v>54.981096999999998</v>
      </c>
    </row>
    <row r="21" spans="1:15" x14ac:dyDescent="0.3">
      <c r="A21" s="161" t="s">
        <v>216</v>
      </c>
      <c r="B21" s="162">
        <v>1627.6689999999999</v>
      </c>
      <c r="C21" s="162">
        <v>1991.69</v>
      </c>
      <c r="D21" s="162">
        <v>2861.17</v>
      </c>
      <c r="E21" s="162">
        <v>3371.3230000000008</v>
      </c>
      <c r="F21" s="160">
        <v>2933.6620000000021</v>
      </c>
      <c r="G21" s="163">
        <v>1932.21</v>
      </c>
      <c r="H21" s="163">
        <v>1436.017092866583</v>
      </c>
      <c r="I21" s="163">
        <v>1092.2367143400004</v>
      </c>
      <c r="J21" s="163">
        <v>1183.8786563647791</v>
      </c>
      <c r="K21" s="163">
        <v>1519.9383898900001</v>
      </c>
      <c r="L21" s="160">
        <v>1735.523071000001</v>
      </c>
      <c r="M21" s="160">
        <v>1732.9793180000022</v>
      </c>
      <c r="N21" s="160">
        <v>940.11159939666879</v>
      </c>
    </row>
    <row r="22" spans="1:15" x14ac:dyDescent="0.3">
      <c r="A22" s="161" t="s">
        <v>218</v>
      </c>
      <c r="B22" s="162">
        <f>SUM(B23:B28)</f>
        <v>280.13600000000002</v>
      </c>
      <c r="C22" s="162">
        <f>SUM(C23:C28)</f>
        <v>458.94099999999997</v>
      </c>
      <c r="D22" s="162">
        <f>SUM(D23:D28)</f>
        <v>684.0440000000001</v>
      </c>
      <c r="E22" s="162">
        <v>954.28300000000002</v>
      </c>
      <c r="F22" s="162">
        <v>1115.1030000000001</v>
      </c>
      <c r="G22" s="162">
        <v>1366.64</v>
      </c>
      <c r="H22" s="162">
        <v>1571.3467999999998</v>
      </c>
      <c r="I22" s="162">
        <v>2024.8046021600001</v>
      </c>
      <c r="J22" s="162">
        <v>1710.5102618000001</v>
      </c>
      <c r="K22" s="162">
        <v>1312.0544443533074</v>
      </c>
      <c r="L22" s="160">
        <v>785.23128300614246</v>
      </c>
      <c r="M22" s="160">
        <v>781.8078923083051</v>
      </c>
      <c r="N22" s="160">
        <v>964.48285859000021</v>
      </c>
    </row>
    <row r="23" spans="1:15" x14ac:dyDescent="0.3">
      <c r="A23" s="161" t="s">
        <v>210</v>
      </c>
      <c r="B23" s="162">
        <v>34.675999999999995</v>
      </c>
      <c r="C23" s="162">
        <v>48.372</v>
      </c>
      <c r="D23" s="162">
        <v>123.54599999999999</v>
      </c>
      <c r="E23" s="162">
        <v>149.952</v>
      </c>
      <c r="F23" s="160">
        <v>449.35899999999998</v>
      </c>
      <c r="G23" s="162">
        <v>181.89400000000001</v>
      </c>
      <c r="H23" s="162">
        <v>22.723000000000003</v>
      </c>
      <c r="I23" s="162">
        <v>40.838000000000001</v>
      </c>
      <c r="J23" s="162">
        <v>29.302999999999997</v>
      </c>
      <c r="K23" s="163">
        <v>31.60282943</v>
      </c>
      <c r="L23" s="160">
        <v>40.431279000000004</v>
      </c>
      <c r="M23" s="160">
        <v>37.143640000000005</v>
      </c>
      <c r="N23" s="160">
        <v>68.129941000000002</v>
      </c>
      <c r="O23" s="732"/>
    </row>
    <row r="24" spans="1:15" x14ac:dyDescent="0.3">
      <c r="A24" s="161" t="s">
        <v>211</v>
      </c>
      <c r="B24" s="162">
        <v>94.62700000000001</v>
      </c>
      <c r="C24" s="162">
        <v>105.86800000000001</v>
      </c>
      <c r="D24" s="162">
        <v>126.98</v>
      </c>
      <c r="E24" s="162">
        <v>156.72800000000001</v>
      </c>
      <c r="F24" s="160">
        <v>76.613</v>
      </c>
      <c r="G24" s="163">
        <v>450.375</v>
      </c>
      <c r="H24" s="163">
        <v>100.83499999999999</v>
      </c>
      <c r="I24" s="163">
        <v>528.29499999999996</v>
      </c>
      <c r="J24" s="163">
        <v>533.322</v>
      </c>
      <c r="K24" s="163">
        <v>453.17155998999993</v>
      </c>
      <c r="L24" s="160">
        <v>149.52655515000001</v>
      </c>
      <c r="M24" s="160">
        <v>174.128624</v>
      </c>
      <c r="N24" s="160">
        <v>168.01958500000001</v>
      </c>
    </row>
    <row r="25" spans="1:15" x14ac:dyDescent="0.3">
      <c r="A25" s="161" t="s">
        <v>212</v>
      </c>
      <c r="B25" s="160" t="s">
        <v>213</v>
      </c>
      <c r="C25" s="160" t="s">
        <v>213</v>
      </c>
      <c r="D25" s="160" t="s">
        <v>213</v>
      </c>
      <c r="E25" s="160" t="s">
        <v>623</v>
      </c>
      <c r="F25" s="160">
        <v>95.534999999999997</v>
      </c>
      <c r="G25" s="163">
        <v>114.11699999999999</v>
      </c>
      <c r="H25" s="163">
        <v>229.21</v>
      </c>
      <c r="I25" s="163">
        <v>204.40699999999998</v>
      </c>
      <c r="J25" s="163">
        <v>425.79305699999998</v>
      </c>
      <c r="K25" s="163">
        <v>302.38032683330761</v>
      </c>
      <c r="L25" s="160">
        <v>243.54204985614257</v>
      </c>
      <c r="M25" s="160">
        <v>196.67462030830509</v>
      </c>
      <c r="N25" s="160">
        <v>386.98822600000005</v>
      </c>
    </row>
    <row r="26" spans="1:15" x14ac:dyDescent="0.3">
      <c r="A26" s="161" t="s">
        <v>214</v>
      </c>
      <c r="B26" s="162">
        <v>24.037000000000003</v>
      </c>
      <c r="C26" s="162">
        <v>37.741999999999997</v>
      </c>
      <c r="D26" s="162">
        <v>90.672000000000011</v>
      </c>
      <c r="E26" s="162">
        <v>123.95800000000001</v>
      </c>
      <c r="F26" s="160">
        <v>88.402999999999992</v>
      </c>
      <c r="G26" s="163">
        <v>170.12</v>
      </c>
      <c r="H26" s="163">
        <v>371</v>
      </c>
      <c r="I26" s="163">
        <v>425.58</v>
      </c>
      <c r="J26" s="163">
        <v>452.92399999999998</v>
      </c>
      <c r="K26" s="163">
        <v>264.28330099999999</v>
      </c>
      <c r="L26" s="160">
        <v>195.88619799999998</v>
      </c>
      <c r="M26" s="160">
        <v>227.33983600000002</v>
      </c>
      <c r="N26" s="160">
        <v>172.45158500000002</v>
      </c>
    </row>
    <row r="27" spans="1:15" x14ac:dyDescent="0.3">
      <c r="A27" s="161" t="s">
        <v>215</v>
      </c>
      <c r="B27" s="162">
        <v>21.346</v>
      </c>
      <c r="C27" s="162">
        <v>7.2489999999999997</v>
      </c>
      <c r="D27" s="162">
        <v>28.087</v>
      </c>
      <c r="E27" s="162">
        <v>23.47</v>
      </c>
      <c r="F27" s="160">
        <v>39.084000000000003</v>
      </c>
      <c r="G27" s="163">
        <v>61.302</v>
      </c>
      <c r="H27" s="163">
        <v>64.580999999999989</v>
      </c>
      <c r="I27" s="163">
        <v>46.219597</v>
      </c>
      <c r="J27" s="163">
        <v>28.291</v>
      </c>
      <c r="K27" s="163">
        <v>41.764671</v>
      </c>
      <c r="L27" s="160">
        <v>8.0630999999999986</v>
      </c>
      <c r="M27" s="160">
        <v>2.4482600000000003</v>
      </c>
      <c r="N27" s="160">
        <v>0</v>
      </c>
    </row>
    <row r="28" spans="1:15" x14ac:dyDescent="0.3">
      <c r="A28" s="161" t="s">
        <v>216</v>
      </c>
      <c r="B28" s="162">
        <v>105.45</v>
      </c>
      <c r="C28" s="162">
        <v>259.70999999999998</v>
      </c>
      <c r="D28" s="162">
        <v>314.75900000000001</v>
      </c>
      <c r="E28" s="162">
        <v>500.17500000000001</v>
      </c>
      <c r="F28" s="160">
        <v>366.10900000000009</v>
      </c>
      <c r="G28" s="163">
        <v>388.83199999999988</v>
      </c>
      <c r="H28" s="163">
        <v>782.99779999999976</v>
      </c>
      <c r="I28" s="163">
        <v>779.46500516000015</v>
      </c>
      <c r="J28" s="163">
        <v>240.87720480000013</v>
      </c>
      <c r="K28" s="163">
        <v>218.85175609999996</v>
      </c>
      <c r="L28" s="160">
        <v>147.78210099999987</v>
      </c>
      <c r="M28" s="160">
        <v>144.07291200000006</v>
      </c>
      <c r="N28" s="160">
        <v>168.89352159000009</v>
      </c>
    </row>
    <row r="29" spans="1:15" x14ac:dyDescent="0.3">
      <c r="A29" s="161" t="s">
        <v>219</v>
      </c>
      <c r="B29" s="162">
        <v>43.823</v>
      </c>
      <c r="C29" s="162">
        <v>129.11000000000001</v>
      </c>
      <c r="D29" s="162">
        <v>100.277</v>
      </c>
      <c r="E29" s="162">
        <v>81.698999999999998</v>
      </c>
      <c r="F29" s="160">
        <v>202.15300000000002</v>
      </c>
      <c r="G29" s="164">
        <v>344.25</v>
      </c>
      <c r="H29" s="162">
        <v>702.596</v>
      </c>
      <c r="I29" s="162">
        <v>650.27099999999996</v>
      </c>
      <c r="J29" s="162">
        <v>108.122</v>
      </c>
      <c r="K29" s="163">
        <v>73</v>
      </c>
      <c r="L29" s="160">
        <v>75.125400240000005</v>
      </c>
      <c r="M29" s="160">
        <v>91.008519145210983</v>
      </c>
      <c r="N29" s="160">
        <v>162.29100000000003</v>
      </c>
    </row>
    <row r="30" spans="1:15" x14ac:dyDescent="0.3">
      <c r="A30" s="161" t="s">
        <v>220</v>
      </c>
      <c r="B30" s="162">
        <f>B8-B15-B22+B29</f>
        <v>14.14500000000006</v>
      </c>
      <c r="C30" s="162">
        <f>C8-C15-C22+C29</f>
        <v>272.9599999999993</v>
      </c>
      <c r="D30" s="162">
        <f>D8-D15-D22+D29</f>
        <v>506.97799999999887</v>
      </c>
      <c r="E30" s="162">
        <v>414.12899999999973</v>
      </c>
      <c r="F30" s="162">
        <v>-2.3720000000005257</v>
      </c>
      <c r="G30" s="162">
        <v>348.80199999999923</v>
      </c>
      <c r="H30" s="162">
        <v>1069.0653071334182</v>
      </c>
      <c r="I30" s="162">
        <v>-158.0777017457026</v>
      </c>
      <c r="J30" s="162">
        <v>50.561690772222093</v>
      </c>
      <c r="K30" s="162">
        <v>-913.02283488612215</v>
      </c>
      <c r="L30" s="160">
        <v>401.90285832716404</v>
      </c>
      <c r="M30" s="160">
        <v>-237.12813190089588</v>
      </c>
      <c r="N30" s="160">
        <v>-100.3452735000009</v>
      </c>
    </row>
    <row r="31" spans="1:15" x14ac:dyDescent="0.3">
      <c r="A31" s="161" t="s">
        <v>221</v>
      </c>
      <c r="B31" s="162">
        <v>182.40700000000001</v>
      </c>
      <c r="C31" s="162">
        <v>294.94499999999999</v>
      </c>
      <c r="D31" s="162">
        <v>251.00800000000001</v>
      </c>
      <c r="E31" s="162">
        <v>139.16800000000001</v>
      </c>
      <c r="F31" s="160">
        <v>196.89399999999998</v>
      </c>
      <c r="G31" s="163">
        <v>175.364</v>
      </c>
      <c r="H31" s="163">
        <v>112.14550713341866</v>
      </c>
      <c r="I31" s="163">
        <v>100.73515861</v>
      </c>
      <c r="J31" s="163">
        <v>77.672949299999999</v>
      </c>
      <c r="K31" s="163">
        <v>115.47609514750002</v>
      </c>
      <c r="L31" s="160">
        <v>106.53863190000001</v>
      </c>
      <c r="M31" s="160">
        <v>91.620266630000003</v>
      </c>
      <c r="N31" s="160">
        <v>94.750360790000002</v>
      </c>
    </row>
    <row r="32" spans="1:15" x14ac:dyDescent="0.3">
      <c r="A32" s="165" t="s">
        <v>222</v>
      </c>
      <c r="B32" s="166">
        <f>B30-B31</f>
        <v>-168.26199999999994</v>
      </c>
      <c r="C32" s="166">
        <f>C30-C31</f>
        <v>-21.985000000000696</v>
      </c>
      <c r="D32" s="166">
        <f>D30-D31</f>
        <v>255.96999999999886</v>
      </c>
      <c r="E32" s="166">
        <v>274.96099999999973</v>
      </c>
      <c r="F32" s="166">
        <v>-199.2660000000005</v>
      </c>
      <c r="G32" s="166">
        <v>173.43799999999922</v>
      </c>
      <c r="H32" s="166">
        <v>956.91979999999955</v>
      </c>
      <c r="I32" s="166">
        <v>-258.81286035570258</v>
      </c>
      <c r="J32" s="166">
        <v>-27.111258527777906</v>
      </c>
      <c r="K32" s="166">
        <v>-1028.4989300336222</v>
      </c>
      <c r="L32" s="160">
        <v>295.364226427164</v>
      </c>
      <c r="M32" s="160">
        <v>-328.74839853089588</v>
      </c>
      <c r="N32" s="160">
        <v>-195.0956342900009</v>
      </c>
    </row>
    <row r="33" spans="1:14" x14ac:dyDescent="0.3">
      <c r="A33" s="161" t="s">
        <v>210</v>
      </c>
      <c r="B33" s="162">
        <v>-87.482000000000028</v>
      </c>
      <c r="C33" s="162">
        <v>-59.390999999999849</v>
      </c>
      <c r="D33" s="162">
        <v>-52.874999999999716</v>
      </c>
      <c r="E33" s="162">
        <v>97.4800000000007</v>
      </c>
      <c r="F33" s="160">
        <v>-464.27200000000045</v>
      </c>
      <c r="G33" s="163">
        <v>90.488999999999805</v>
      </c>
      <c r="H33" s="163">
        <v>384.99399999999963</v>
      </c>
      <c r="I33" s="163">
        <v>6.60500000000021</v>
      </c>
      <c r="J33" s="163">
        <v>-17.748082262998764</v>
      </c>
      <c r="K33" s="163">
        <v>-153.9890666099987</v>
      </c>
      <c r="L33" s="160">
        <v>397.64249700000016</v>
      </c>
      <c r="M33" s="160">
        <v>-35.662941999999703</v>
      </c>
      <c r="N33" s="160">
        <v>-154.54708100000047</v>
      </c>
    </row>
    <row r="34" spans="1:14" x14ac:dyDescent="0.3">
      <c r="A34" s="161" t="s">
        <v>211</v>
      </c>
      <c r="B34" s="162">
        <v>-0.63200000000001921</v>
      </c>
      <c r="C34" s="162">
        <v>-35.54</v>
      </c>
      <c r="D34" s="162">
        <v>99.469000000000023</v>
      </c>
      <c r="E34" s="162">
        <v>102.395</v>
      </c>
      <c r="F34" s="162">
        <v>262.90600000000012</v>
      </c>
      <c r="G34" s="162">
        <v>22.258999999999673</v>
      </c>
      <c r="H34" s="162">
        <v>240.9310000000001</v>
      </c>
      <c r="I34" s="162">
        <v>-219.65800000000024</v>
      </c>
      <c r="J34" s="162">
        <v>55.839738999999895</v>
      </c>
      <c r="K34" s="163">
        <v>-20.921760710000001</v>
      </c>
      <c r="L34" s="160">
        <v>213.87859857000004</v>
      </c>
      <c r="M34" s="160">
        <v>-31.201150999999811</v>
      </c>
      <c r="N34" s="160">
        <v>45.271940000000086</v>
      </c>
    </row>
    <row r="35" spans="1:14" x14ac:dyDescent="0.3">
      <c r="A35" s="161" t="s">
        <v>212</v>
      </c>
      <c r="B35" s="160" t="s">
        <v>213</v>
      </c>
      <c r="C35" s="160" t="s">
        <v>213</v>
      </c>
      <c r="D35" s="160" t="s">
        <v>213</v>
      </c>
      <c r="E35" s="160" t="s">
        <v>623</v>
      </c>
      <c r="F35" s="160">
        <v>26.370999999999739</v>
      </c>
      <c r="G35" s="163">
        <v>85.986999999999938</v>
      </c>
      <c r="H35" s="163">
        <v>87.601000000000141</v>
      </c>
      <c r="I35" s="163">
        <v>181.92500000000001</v>
      </c>
      <c r="J35" s="163">
        <v>-96.241000000000099</v>
      </c>
      <c r="K35" s="163">
        <v>-268.02253432362085</v>
      </c>
      <c r="L35" s="160">
        <v>181.87257829152514</v>
      </c>
      <c r="M35" s="160">
        <v>143.32787604690614</v>
      </c>
      <c r="N35" s="160">
        <v>29.618432000000666</v>
      </c>
    </row>
    <row r="36" spans="1:14" x14ac:dyDescent="0.3">
      <c r="A36" s="161" t="s">
        <v>214</v>
      </c>
      <c r="B36" s="162">
        <v>-8.2070000000000114</v>
      </c>
      <c r="C36" s="162">
        <v>-8.5970000000000155</v>
      </c>
      <c r="D36" s="162">
        <v>-20.2</v>
      </c>
      <c r="E36" s="162">
        <v>-18.844000000000008</v>
      </c>
      <c r="F36" s="160">
        <v>48.212000000000046</v>
      </c>
      <c r="G36" s="163">
        <v>36.50800000000001</v>
      </c>
      <c r="H36" s="163">
        <v>-55.658000000000015</v>
      </c>
      <c r="I36" s="163">
        <v>-64.26499999999993</v>
      </c>
      <c r="J36" s="163">
        <v>-157.005</v>
      </c>
      <c r="K36" s="163">
        <v>-109.19584799999996</v>
      </c>
      <c r="L36" s="160">
        <v>27.488633999999934</v>
      </c>
      <c r="M36" s="160">
        <v>-26.523536000000064</v>
      </c>
      <c r="N36" s="160">
        <v>-12.433906000000093</v>
      </c>
    </row>
    <row r="37" spans="1:14" x14ac:dyDescent="0.3">
      <c r="A37" s="161" t="s">
        <v>215</v>
      </c>
      <c r="B37" s="160">
        <v>-57.144000000000005</v>
      </c>
      <c r="C37" s="160">
        <v>35.244999999999919</v>
      </c>
      <c r="D37" s="160">
        <v>-6.9020000000000543</v>
      </c>
      <c r="E37" s="160">
        <v>79.522999999999939</v>
      </c>
      <c r="F37" s="160">
        <v>68.534999999999911</v>
      </c>
      <c r="G37" s="160">
        <v>40.821000000000048</v>
      </c>
      <c r="H37" s="160">
        <v>307.96100000000035</v>
      </c>
      <c r="I37" s="160">
        <v>-60.204958055700082</v>
      </c>
      <c r="J37" s="160">
        <v>144.18771499999997</v>
      </c>
      <c r="K37" s="163">
        <v>-297.65178400000002</v>
      </c>
      <c r="L37" s="160">
        <v>-15.370835000000035</v>
      </c>
      <c r="M37" s="160">
        <v>-20.675984999999979</v>
      </c>
      <c r="N37" s="160">
        <v>-16.002257</v>
      </c>
    </row>
    <row r="38" spans="1:14" x14ac:dyDescent="0.3">
      <c r="A38" s="161" t="s">
        <v>216</v>
      </c>
      <c r="B38" s="160">
        <v>-14.797000000000237</v>
      </c>
      <c r="C38" s="160">
        <v>46.298000000000428</v>
      </c>
      <c r="D38" s="160">
        <v>236.47799999999975</v>
      </c>
      <c r="E38" s="160">
        <v>14.406999999999101</v>
      </c>
      <c r="F38" s="160">
        <v>-141.01799999999986</v>
      </c>
      <c r="G38" s="160">
        <v>-102.62600000000026</v>
      </c>
      <c r="H38" s="160">
        <v>-8.9092000000006237</v>
      </c>
      <c r="I38" s="167">
        <v>-103.21490230000254</v>
      </c>
      <c r="J38" s="167">
        <v>43.855369735221075</v>
      </c>
      <c r="K38" s="167">
        <v>-178.71793639000271</v>
      </c>
      <c r="L38" s="160">
        <v>-510.14724643436114</v>
      </c>
      <c r="M38" s="160">
        <v>-358.01266057780254</v>
      </c>
      <c r="N38" s="160">
        <v>-87.002762290001087</v>
      </c>
    </row>
    <row r="39" spans="1:14" x14ac:dyDescent="0.3">
      <c r="A39" s="168"/>
      <c r="B39" s="169"/>
      <c r="C39" s="169"/>
      <c r="D39" s="169"/>
      <c r="E39" s="169"/>
      <c r="F39" s="169"/>
      <c r="G39" s="169"/>
      <c r="H39" s="169"/>
      <c r="I39" s="170"/>
      <c r="J39" s="170"/>
      <c r="K39" s="170"/>
    </row>
    <row r="40" spans="1:14" x14ac:dyDescent="0.3">
      <c r="A40" s="141" t="s">
        <v>38</v>
      </c>
      <c r="B40" s="171"/>
      <c r="C40" s="171"/>
      <c r="D40" s="171"/>
      <c r="E40" s="171"/>
      <c r="F40" s="171"/>
      <c r="G40" s="171"/>
      <c r="H40" s="172"/>
      <c r="I40" s="173"/>
      <c r="J40" s="173"/>
      <c r="K40" s="173"/>
    </row>
    <row r="41" spans="1:14" x14ac:dyDescent="0.3">
      <c r="A41" s="577" t="s">
        <v>607</v>
      </c>
    </row>
  </sheetData>
  <phoneticPr fontId="0" type="noConversion"/>
  <pageMargins left="0.75" right="0.75" top="1" bottom="1" header="0" footer="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EE21-A9C5-4DCB-A3FC-08E5560BCF89}">
  <dimension ref="A2:H25"/>
  <sheetViews>
    <sheetView topLeftCell="D1" workbookViewId="0">
      <selection activeCell="J2" sqref="J2"/>
    </sheetView>
  </sheetViews>
  <sheetFormatPr defaultColWidth="11" defaultRowHeight="13" x14ac:dyDescent="0.3"/>
  <cols>
    <col min="1" max="1" width="48" customWidth="1"/>
    <col min="2" max="2" width="14.88671875" customWidth="1"/>
    <col min="3" max="3" width="18.44140625" customWidth="1"/>
    <col min="4" max="4" width="20.109375" customWidth="1"/>
    <col min="5" max="5" width="16.88671875" customWidth="1"/>
    <col min="6" max="6" width="17.6640625" customWidth="1"/>
    <col min="7" max="7" width="19.109375" customWidth="1"/>
  </cols>
  <sheetData>
    <row r="2" spans="1:8" ht="13.5" thickBot="1" x14ac:dyDescent="0.35">
      <c r="A2" s="678"/>
      <c r="B2" s="851">
        <v>2003</v>
      </c>
      <c r="C2" s="851"/>
      <c r="D2" s="851"/>
      <c r="E2" s="851">
        <v>2004</v>
      </c>
      <c r="F2" s="851"/>
      <c r="G2" s="851"/>
    </row>
    <row r="3" spans="1:8" ht="34.5" x14ac:dyDescent="0.3">
      <c r="A3" s="679" t="s">
        <v>688</v>
      </c>
      <c r="B3" s="680" t="s">
        <v>689</v>
      </c>
      <c r="C3" s="681" t="s">
        <v>690</v>
      </c>
      <c r="D3" s="682" t="s">
        <v>691</v>
      </c>
      <c r="E3" s="680" t="s">
        <v>689</v>
      </c>
      <c r="F3" s="681" t="s">
        <v>690</v>
      </c>
      <c r="G3" s="682" t="s">
        <v>691</v>
      </c>
      <c r="H3" s="683" t="s">
        <v>692</v>
      </c>
    </row>
    <row r="4" spans="1:8" x14ac:dyDescent="0.3">
      <c r="A4" s="684"/>
      <c r="B4" s="685"/>
      <c r="C4" s="686"/>
      <c r="D4" s="687"/>
      <c r="E4" s="685"/>
      <c r="F4" s="686"/>
      <c r="G4" s="687"/>
    </row>
    <row r="5" spans="1:8" x14ac:dyDescent="0.3">
      <c r="A5" s="688" t="s">
        <v>693</v>
      </c>
      <c r="B5" s="689"/>
      <c r="C5" s="690"/>
      <c r="D5" s="691"/>
      <c r="E5" s="689"/>
      <c r="F5" s="690"/>
      <c r="G5" s="691"/>
    </row>
    <row r="6" spans="1:8" x14ac:dyDescent="0.3">
      <c r="A6" s="684"/>
      <c r="B6" s="692">
        <v>39440738427</v>
      </c>
      <c r="C6" s="693">
        <v>29510851762</v>
      </c>
      <c r="D6" s="694">
        <v>26466243611.630001</v>
      </c>
      <c r="E6" s="692">
        <v>39440738427</v>
      </c>
      <c r="F6" s="693">
        <v>29510851762</v>
      </c>
      <c r="G6" s="694">
        <v>26466243611.630001</v>
      </c>
      <c r="H6" s="362">
        <f>E6/B6-1</f>
        <v>0</v>
      </c>
    </row>
    <row r="7" spans="1:8" x14ac:dyDescent="0.3">
      <c r="A7" s="684" t="s">
        <v>694</v>
      </c>
      <c r="B7" s="692"/>
      <c r="C7" s="693"/>
      <c r="D7" s="694"/>
      <c r="E7" s="692"/>
      <c r="F7" s="693"/>
      <c r="G7" s="694"/>
      <c r="H7" s="362"/>
    </row>
    <row r="8" spans="1:8" x14ac:dyDescent="0.3">
      <c r="A8" s="684" t="s">
        <v>695</v>
      </c>
      <c r="B8" s="692">
        <v>11351958568</v>
      </c>
      <c r="C8" s="693">
        <v>11504514834</v>
      </c>
      <c r="D8" s="694">
        <v>10809094591.08</v>
      </c>
      <c r="E8" s="692">
        <v>11652883985</v>
      </c>
      <c r="F8" s="693">
        <v>8313077175</v>
      </c>
      <c r="G8" s="694">
        <v>7731793589.9099998</v>
      </c>
      <c r="H8" s="362">
        <f t="shared" ref="H8:H25" si="0">E8/B8-1</f>
        <v>2.6508678233576166E-2</v>
      </c>
    </row>
    <row r="9" spans="1:8" x14ac:dyDescent="0.3">
      <c r="A9" s="684" t="s">
        <v>696</v>
      </c>
      <c r="B9" s="692">
        <v>1549111688</v>
      </c>
      <c r="C9" s="693">
        <v>1073768994</v>
      </c>
      <c r="D9" s="694">
        <v>894219077.51999998</v>
      </c>
      <c r="E9" s="692">
        <v>781360109</v>
      </c>
      <c r="F9" s="693">
        <v>723442842</v>
      </c>
      <c r="G9" s="694">
        <v>535178398.73000002</v>
      </c>
      <c r="H9" s="362">
        <f t="shared" si="0"/>
        <v>-0.49560763432830024</v>
      </c>
    </row>
    <row r="10" spans="1:8" x14ac:dyDescent="0.3">
      <c r="A10" s="695" t="s">
        <v>697</v>
      </c>
      <c r="B10" s="696">
        <v>10283993635</v>
      </c>
      <c r="C10" s="697">
        <v>11489605891</v>
      </c>
      <c r="D10" s="698">
        <v>11139868353.530001</v>
      </c>
      <c r="E10" s="696">
        <v>8281699239</v>
      </c>
      <c r="F10" s="697">
        <v>6259414734</v>
      </c>
      <c r="G10" s="698">
        <v>5762298211.1700001</v>
      </c>
      <c r="H10" s="699">
        <f t="shared" si="0"/>
        <v>-0.19470008121995497</v>
      </c>
    </row>
    <row r="11" spans="1:8" x14ac:dyDescent="0.3">
      <c r="A11" s="684" t="s">
        <v>698</v>
      </c>
      <c r="B11" s="692">
        <v>97040813</v>
      </c>
      <c r="C11" s="693">
        <v>104750883</v>
      </c>
      <c r="D11" s="694">
        <v>71875249.549999997</v>
      </c>
      <c r="E11" s="692">
        <v>105626007</v>
      </c>
      <c r="F11" s="693">
        <v>82758114</v>
      </c>
      <c r="G11" s="694">
        <v>48133789.229999997</v>
      </c>
      <c r="H11" s="362">
        <f t="shared" si="0"/>
        <v>8.8469930687823162E-2</v>
      </c>
    </row>
    <row r="12" spans="1:8" x14ac:dyDescent="0.3">
      <c r="A12" s="684" t="s">
        <v>699</v>
      </c>
      <c r="B12" s="692">
        <v>4617209756</v>
      </c>
      <c r="C12" s="693">
        <v>4987341823</v>
      </c>
      <c r="D12" s="694">
        <v>4789293656.4499998</v>
      </c>
      <c r="E12" s="692">
        <v>4801389003</v>
      </c>
      <c r="F12" s="693">
        <v>3441963489</v>
      </c>
      <c r="G12" s="694">
        <v>3134517686.8800001</v>
      </c>
      <c r="H12" s="362">
        <f t="shared" si="0"/>
        <v>3.9889729237590155E-2</v>
      </c>
    </row>
    <row r="13" spans="1:8" x14ac:dyDescent="0.3">
      <c r="A13" s="695" t="s">
        <v>700</v>
      </c>
      <c r="B13" s="696">
        <v>6604636487</v>
      </c>
      <c r="C13" s="697">
        <v>6909831811</v>
      </c>
      <c r="D13" s="698">
        <v>6585075308.0500002</v>
      </c>
      <c r="E13" s="696">
        <v>6775567685</v>
      </c>
      <c r="F13" s="697">
        <v>5063551966</v>
      </c>
      <c r="G13" s="698">
        <v>4645325498.3999996</v>
      </c>
      <c r="H13" s="699">
        <f t="shared" si="0"/>
        <v>2.5880485373638074E-2</v>
      </c>
    </row>
    <row r="14" spans="1:8" x14ac:dyDescent="0.3">
      <c r="A14" s="684" t="s">
        <v>701</v>
      </c>
      <c r="B14" s="692">
        <v>684176585</v>
      </c>
      <c r="C14" s="693">
        <v>313211521</v>
      </c>
      <c r="D14" s="694">
        <v>259856621.06999999</v>
      </c>
      <c r="E14" s="692">
        <v>250192913</v>
      </c>
      <c r="F14" s="693">
        <v>200504521</v>
      </c>
      <c r="G14" s="694">
        <v>136917646.30000001</v>
      </c>
      <c r="H14" s="362">
        <f t="shared" si="0"/>
        <v>-0.63431529449374535</v>
      </c>
    </row>
    <row r="15" spans="1:8" x14ac:dyDescent="0.3">
      <c r="A15" s="684" t="s">
        <v>702</v>
      </c>
      <c r="B15" s="692">
        <v>104665301</v>
      </c>
      <c r="C15" s="693">
        <v>133770903</v>
      </c>
      <c r="D15" s="694">
        <v>116692040.15000001</v>
      </c>
      <c r="E15" s="692">
        <v>184807471</v>
      </c>
      <c r="F15" s="693">
        <v>120985081</v>
      </c>
      <c r="G15" s="694">
        <v>87647897.689999998</v>
      </c>
      <c r="H15" s="362">
        <f t="shared" si="0"/>
        <v>0.76569951296466443</v>
      </c>
    </row>
    <row r="16" spans="1:8" x14ac:dyDescent="0.3">
      <c r="A16" s="684" t="s">
        <v>703</v>
      </c>
      <c r="B16" s="692">
        <v>915123598</v>
      </c>
      <c r="C16" s="693">
        <v>979047115</v>
      </c>
      <c r="D16" s="694">
        <v>932407587.00999999</v>
      </c>
      <c r="E16" s="692">
        <v>935117058</v>
      </c>
      <c r="F16" s="693">
        <v>694566824</v>
      </c>
      <c r="G16" s="694">
        <v>624558696.45000005</v>
      </c>
      <c r="H16" s="362">
        <f t="shared" si="0"/>
        <v>2.1847824756891399E-2</v>
      </c>
    </row>
    <row r="17" spans="1:8" x14ac:dyDescent="0.3">
      <c r="A17" s="684" t="s">
        <v>704</v>
      </c>
      <c r="B17" s="692">
        <v>280871729</v>
      </c>
      <c r="C17" s="693">
        <v>273364015</v>
      </c>
      <c r="D17" s="694">
        <v>256359065.55000001</v>
      </c>
      <c r="E17" s="692">
        <v>253834197</v>
      </c>
      <c r="F17" s="693">
        <v>161098032</v>
      </c>
      <c r="G17" s="694">
        <v>138595090.16</v>
      </c>
      <c r="H17" s="362">
        <f t="shared" si="0"/>
        <v>-9.6262917226532241E-2</v>
      </c>
    </row>
    <row r="18" spans="1:8" x14ac:dyDescent="0.3">
      <c r="A18" s="684" t="s">
        <v>705</v>
      </c>
      <c r="B18" s="692">
        <v>96683242</v>
      </c>
      <c r="C18" s="693">
        <v>108831361</v>
      </c>
      <c r="D18" s="694">
        <v>96995362.75</v>
      </c>
      <c r="E18" s="692">
        <v>98116067</v>
      </c>
      <c r="F18" s="693">
        <v>70210970</v>
      </c>
      <c r="G18" s="694">
        <v>55594504.560000002</v>
      </c>
      <c r="H18" s="362">
        <f t="shared" si="0"/>
        <v>1.4819786452754613E-2</v>
      </c>
    </row>
    <row r="19" spans="1:8" x14ac:dyDescent="0.3">
      <c r="A19" s="684" t="s">
        <v>706</v>
      </c>
      <c r="B19" s="692">
        <v>359831989</v>
      </c>
      <c r="C19" s="693">
        <v>411309746</v>
      </c>
      <c r="D19" s="694">
        <v>402664216.11000001</v>
      </c>
      <c r="E19" s="692">
        <v>339003445</v>
      </c>
      <c r="F19" s="693">
        <v>251857872</v>
      </c>
      <c r="G19" s="694">
        <v>239257845.62</v>
      </c>
      <c r="H19" s="362">
        <f t="shared" si="0"/>
        <v>-5.7884081006483235E-2</v>
      </c>
    </row>
    <row r="20" spans="1:8" x14ac:dyDescent="0.3">
      <c r="A20" s="695" t="s">
        <v>707</v>
      </c>
      <c r="B20" s="696">
        <v>4694970932</v>
      </c>
      <c r="C20" s="697">
        <v>3738090374</v>
      </c>
      <c r="D20" s="698">
        <v>3263011932.5100002</v>
      </c>
      <c r="E20" s="696">
        <v>3350774014</v>
      </c>
      <c r="F20" s="697">
        <v>2735804980</v>
      </c>
      <c r="G20" s="698">
        <v>2332669735.4200001</v>
      </c>
      <c r="H20" s="699">
        <f t="shared" si="0"/>
        <v>-0.28630569549179052</v>
      </c>
    </row>
    <row r="21" spans="1:8" x14ac:dyDescent="0.3">
      <c r="A21" s="684" t="s">
        <v>708</v>
      </c>
      <c r="B21" s="692">
        <v>222620132</v>
      </c>
      <c r="C21" s="693">
        <v>300655438</v>
      </c>
      <c r="D21" s="694">
        <v>270291266.25</v>
      </c>
      <c r="E21" s="692">
        <v>212393083</v>
      </c>
      <c r="F21" s="693">
        <v>161560278</v>
      </c>
      <c r="G21" s="694">
        <v>147279856.68000001</v>
      </c>
      <c r="H21" s="362">
        <f t="shared" si="0"/>
        <v>-4.5939461575739249E-2</v>
      </c>
    </row>
    <row r="22" spans="1:8" x14ac:dyDescent="0.3">
      <c r="A22" s="684" t="s">
        <v>709</v>
      </c>
      <c r="B22" s="692">
        <v>2561521311</v>
      </c>
      <c r="C22" s="693">
        <v>1682892488</v>
      </c>
      <c r="D22" s="694">
        <v>1476660949.98</v>
      </c>
      <c r="E22" s="692">
        <v>1198649700</v>
      </c>
      <c r="F22" s="693">
        <v>1087385096</v>
      </c>
      <c r="G22" s="694">
        <v>780502054.97000003</v>
      </c>
      <c r="H22" s="362">
        <f t="shared" si="0"/>
        <v>-0.53205554259782617</v>
      </c>
    </row>
    <row r="23" spans="1:8" x14ac:dyDescent="0.3">
      <c r="A23" s="695" t="s">
        <v>710</v>
      </c>
      <c r="B23" s="696">
        <v>91590539</v>
      </c>
      <c r="C23" s="697">
        <v>186970791</v>
      </c>
      <c r="D23" s="698">
        <v>113106468.73</v>
      </c>
      <c r="E23" s="696">
        <v>219324451</v>
      </c>
      <c r="F23" s="697">
        <v>142669788</v>
      </c>
      <c r="G23" s="698">
        <v>65973109.460000001</v>
      </c>
      <c r="H23" s="699">
        <f t="shared" si="0"/>
        <v>1.3946190664955034</v>
      </c>
    </row>
    <row r="24" spans="1:8" x14ac:dyDescent="0.3">
      <c r="H24" s="700"/>
    </row>
    <row r="25" spans="1:8" x14ac:dyDescent="0.3">
      <c r="A25" s="398" t="s">
        <v>711</v>
      </c>
      <c r="B25" s="701">
        <f t="shared" ref="B25:G25" si="1">+B10+B13+B20+B23</f>
        <v>21675191593</v>
      </c>
      <c r="C25" s="701">
        <f t="shared" si="1"/>
        <v>22324498867</v>
      </c>
      <c r="D25" s="701">
        <f t="shared" si="1"/>
        <v>21101062062.820004</v>
      </c>
      <c r="E25" s="701">
        <f t="shared" si="1"/>
        <v>18627365389</v>
      </c>
      <c r="F25" s="701">
        <f t="shared" si="1"/>
        <v>14201441468</v>
      </c>
      <c r="G25" s="701">
        <f t="shared" si="1"/>
        <v>12806266554.449999</v>
      </c>
      <c r="H25" s="702">
        <f t="shared" si="0"/>
        <v>-0.14061357616715575</v>
      </c>
    </row>
  </sheetData>
  <mergeCells count="2">
    <mergeCell ref="B2:D2"/>
    <mergeCell ref="E2:G2"/>
  </mergeCells>
  <phoneticPr fontId="0" type="noConversion"/>
  <conditionalFormatting sqref="B1:D1 H3 B3:G23">
    <cfRule type="cellIs" dxfId="0" priority="1" stopIfTrue="1" operator="equal">
      <formula>-0.0000001</formula>
    </cfRule>
  </conditionalFormatting>
  <pageMargins left="0.75" right="0.75" top="1" bottom="1" header="0" footer="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ED29-7350-46B9-A682-E9B9D90973DE}">
  <dimension ref="A1:M65"/>
  <sheetViews>
    <sheetView workbookViewId="0"/>
  </sheetViews>
  <sheetFormatPr defaultColWidth="11" defaultRowHeight="13" x14ac:dyDescent="0.3"/>
  <cols>
    <col min="1" max="1" width="44" customWidth="1"/>
    <col min="2" max="9" width="8.88671875" customWidth="1"/>
  </cols>
  <sheetData>
    <row r="1" spans="1:13" x14ac:dyDescent="0.3">
      <c r="A1" s="485" t="s">
        <v>325</v>
      </c>
      <c r="B1" s="486"/>
      <c r="C1" s="486"/>
      <c r="D1" s="487"/>
      <c r="E1" s="487"/>
      <c r="F1" s="488"/>
      <c r="G1" s="488"/>
      <c r="H1" s="488"/>
      <c r="I1" s="488"/>
    </row>
    <row r="2" spans="1:13" x14ac:dyDescent="0.3">
      <c r="A2" s="485" t="s">
        <v>326</v>
      </c>
      <c r="B2" s="489"/>
      <c r="C2" s="486"/>
      <c r="D2" s="487"/>
      <c r="E2" s="487"/>
      <c r="F2" s="488"/>
      <c r="G2" s="488"/>
      <c r="H2" s="488"/>
      <c r="I2" s="488"/>
    </row>
    <row r="3" spans="1:13" x14ac:dyDescent="0.3">
      <c r="A3" s="490" t="s">
        <v>327</v>
      </c>
      <c r="B3" s="491"/>
      <c r="C3" s="492"/>
      <c r="D3" s="493"/>
      <c r="E3" s="493"/>
      <c r="F3" s="488"/>
      <c r="G3" s="488"/>
      <c r="H3" s="488"/>
      <c r="I3" s="488"/>
    </row>
    <row r="4" spans="1:13" x14ac:dyDescent="0.3">
      <c r="A4" s="494"/>
      <c r="B4" s="491"/>
      <c r="C4" s="492"/>
      <c r="D4" s="493"/>
      <c r="E4" s="493"/>
      <c r="F4" s="488"/>
      <c r="G4" s="488"/>
      <c r="H4" s="488"/>
      <c r="I4" s="488"/>
    </row>
    <row r="5" spans="1:13" x14ac:dyDescent="0.3">
      <c r="A5" s="495" t="s">
        <v>328</v>
      </c>
      <c r="B5" s="496">
        <v>1993</v>
      </c>
      <c r="C5" s="496">
        <v>1994</v>
      </c>
      <c r="D5" s="496">
        <v>1995</v>
      </c>
      <c r="E5" s="496">
        <v>1996</v>
      </c>
      <c r="F5" s="496">
        <v>1997</v>
      </c>
      <c r="G5" s="496">
        <v>1998</v>
      </c>
      <c r="H5" s="496">
        <v>1999</v>
      </c>
      <c r="I5" s="496">
        <v>2000</v>
      </c>
      <c r="J5" s="635">
        <v>2001</v>
      </c>
      <c r="K5" s="635">
        <v>2002</v>
      </c>
      <c r="L5" s="635">
        <v>2003</v>
      </c>
      <c r="M5" s="635">
        <v>2004</v>
      </c>
    </row>
    <row r="6" spans="1:13" x14ac:dyDescent="0.3">
      <c r="A6" s="497"/>
      <c r="B6" s="498"/>
      <c r="C6" s="498"/>
      <c r="D6" s="498"/>
      <c r="E6" s="498"/>
      <c r="F6" s="498"/>
      <c r="G6" s="498"/>
      <c r="H6" s="498"/>
      <c r="I6" s="498"/>
    </row>
    <row r="7" spans="1:13" x14ac:dyDescent="0.3">
      <c r="A7" s="499" t="s">
        <v>491</v>
      </c>
      <c r="B7" s="500">
        <v>633</v>
      </c>
      <c r="C7" s="500">
        <v>1106</v>
      </c>
      <c r="D7" s="500">
        <v>2264</v>
      </c>
      <c r="E7" s="500">
        <v>2638</v>
      </c>
      <c r="F7" s="500">
        <v>2656</v>
      </c>
      <c r="G7" s="500">
        <v>3183.5</v>
      </c>
      <c r="H7" s="500">
        <v>3475</v>
      </c>
      <c r="I7" s="500">
        <v>3657.4</v>
      </c>
      <c r="J7" s="636">
        <v>3124</v>
      </c>
      <c r="K7" s="636">
        <v>3522</v>
      </c>
      <c r="L7" s="636">
        <v>2931</v>
      </c>
    </row>
    <row r="8" spans="1:13" x14ac:dyDescent="0.3">
      <c r="A8" s="499" t="s">
        <v>329</v>
      </c>
      <c r="B8" s="501">
        <v>337</v>
      </c>
      <c r="C8" s="501">
        <v>451</v>
      </c>
      <c r="D8" s="501">
        <v>501</v>
      </c>
      <c r="E8" s="501">
        <v>458</v>
      </c>
      <c r="F8" s="501">
        <v>648</v>
      </c>
      <c r="G8" s="501">
        <v>635.4</v>
      </c>
      <c r="H8" s="501">
        <v>731</v>
      </c>
      <c r="I8" s="501">
        <v>827</v>
      </c>
      <c r="J8" s="501">
        <v>178</v>
      </c>
      <c r="K8" s="501">
        <v>537</v>
      </c>
      <c r="L8" s="501">
        <v>410</v>
      </c>
    </row>
    <row r="9" spans="1:13" x14ac:dyDescent="0.3">
      <c r="A9" s="502" t="s">
        <v>330</v>
      </c>
      <c r="B9" s="503">
        <v>33</v>
      </c>
      <c r="C9" s="503">
        <v>77</v>
      </c>
      <c r="D9" s="503">
        <v>117</v>
      </c>
      <c r="E9" s="503">
        <v>97</v>
      </c>
      <c r="F9" s="503">
        <v>190</v>
      </c>
      <c r="G9" s="504">
        <v>186</v>
      </c>
      <c r="H9" s="503">
        <v>175</v>
      </c>
      <c r="I9" s="503">
        <v>192</v>
      </c>
      <c r="J9" s="503">
        <v>12</v>
      </c>
      <c r="K9" s="503" t="s">
        <v>213</v>
      </c>
      <c r="L9" s="503" t="s">
        <v>213</v>
      </c>
    </row>
    <row r="10" spans="1:13" x14ac:dyDescent="0.3">
      <c r="A10" s="502" t="s">
        <v>331</v>
      </c>
      <c r="B10" s="503">
        <v>294</v>
      </c>
      <c r="C10" s="503">
        <v>346</v>
      </c>
      <c r="D10" s="503">
        <v>353</v>
      </c>
      <c r="E10" s="503">
        <v>31</v>
      </c>
      <c r="F10" s="503" t="s">
        <v>213</v>
      </c>
      <c r="G10" s="503" t="s">
        <v>213</v>
      </c>
      <c r="H10" s="503" t="s">
        <v>213</v>
      </c>
      <c r="I10" s="503" t="s">
        <v>213</v>
      </c>
      <c r="J10" s="503" t="s">
        <v>213</v>
      </c>
      <c r="K10" s="503" t="s">
        <v>213</v>
      </c>
      <c r="L10" s="503" t="s">
        <v>213</v>
      </c>
    </row>
    <row r="11" spans="1:13" x14ac:dyDescent="0.3">
      <c r="A11" s="502" t="s">
        <v>332</v>
      </c>
      <c r="B11" s="503">
        <v>10</v>
      </c>
      <c r="C11" s="503">
        <v>28</v>
      </c>
      <c r="D11" s="503">
        <v>31</v>
      </c>
      <c r="E11" s="503">
        <v>330</v>
      </c>
      <c r="F11" s="503" t="s">
        <v>213</v>
      </c>
      <c r="G11" s="503" t="s">
        <v>213</v>
      </c>
      <c r="H11" s="503" t="s">
        <v>213</v>
      </c>
      <c r="I11" s="503" t="s">
        <v>213</v>
      </c>
      <c r="J11" s="503" t="s">
        <v>213</v>
      </c>
      <c r="K11" s="503" t="s">
        <v>213</v>
      </c>
      <c r="L11" s="503" t="s">
        <v>213</v>
      </c>
    </row>
    <row r="12" spans="1:13" x14ac:dyDescent="0.3">
      <c r="A12" s="502" t="s">
        <v>333</v>
      </c>
      <c r="B12" s="503" t="s">
        <v>213</v>
      </c>
      <c r="C12" s="503" t="s">
        <v>213</v>
      </c>
      <c r="D12" s="503" t="s">
        <v>213</v>
      </c>
      <c r="E12" s="503" t="s">
        <v>213</v>
      </c>
      <c r="F12" s="503">
        <v>32</v>
      </c>
      <c r="G12" s="504">
        <v>34.9</v>
      </c>
      <c r="H12" s="503">
        <v>34</v>
      </c>
      <c r="I12" s="503">
        <v>36</v>
      </c>
      <c r="J12" s="503">
        <v>46</v>
      </c>
      <c r="K12" s="503">
        <v>38</v>
      </c>
      <c r="L12" s="503">
        <v>57</v>
      </c>
    </row>
    <row r="13" spans="1:13" x14ac:dyDescent="0.3">
      <c r="A13" s="502" t="s">
        <v>334</v>
      </c>
      <c r="B13" s="503" t="s">
        <v>213</v>
      </c>
      <c r="C13" s="503" t="s">
        <v>213</v>
      </c>
      <c r="D13" s="503" t="s">
        <v>213</v>
      </c>
      <c r="E13" s="503" t="s">
        <v>213</v>
      </c>
      <c r="F13" s="503">
        <v>426</v>
      </c>
      <c r="G13" s="504">
        <v>414.5</v>
      </c>
      <c r="H13" s="503">
        <v>522</v>
      </c>
      <c r="I13" s="503">
        <v>599</v>
      </c>
      <c r="J13" s="503">
        <v>120</v>
      </c>
      <c r="K13" s="503">
        <v>179</v>
      </c>
      <c r="L13" s="503">
        <v>215</v>
      </c>
    </row>
    <row r="14" spans="1:13" x14ac:dyDescent="0.3">
      <c r="A14" s="499" t="s">
        <v>335</v>
      </c>
      <c r="B14" s="501">
        <v>66</v>
      </c>
      <c r="C14" s="501">
        <v>86</v>
      </c>
      <c r="D14" s="501">
        <v>202</v>
      </c>
      <c r="E14" s="501">
        <v>218</v>
      </c>
      <c r="F14" s="501">
        <v>230</v>
      </c>
      <c r="G14" s="501">
        <v>297</v>
      </c>
      <c r="H14" s="501">
        <v>359</v>
      </c>
      <c r="I14" s="501">
        <v>414.5</v>
      </c>
      <c r="J14" s="501">
        <v>243</v>
      </c>
      <c r="K14" s="501">
        <v>276</v>
      </c>
      <c r="L14" s="501">
        <v>312</v>
      </c>
    </row>
    <row r="15" spans="1:13" x14ac:dyDescent="0.3">
      <c r="A15" s="502" t="s">
        <v>336</v>
      </c>
      <c r="B15" s="503">
        <v>66</v>
      </c>
      <c r="C15" s="503">
        <v>86</v>
      </c>
      <c r="D15" s="503">
        <v>202</v>
      </c>
      <c r="E15" s="503">
        <v>60</v>
      </c>
      <c r="F15" s="503">
        <v>62</v>
      </c>
      <c r="G15" s="504">
        <v>72</v>
      </c>
      <c r="H15" s="503">
        <v>100</v>
      </c>
      <c r="I15" s="503">
        <v>113</v>
      </c>
      <c r="J15" s="503">
        <v>57</v>
      </c>
      <c r="K15" s="503">
        <v>40</v>
      </c>
      <c r="L15" s="503">
        <v>32</v>
      </c>
    </row>
    <row r="16" spans="1:13" x14ac:dyDescent="0.3">
      <c r="A16" s="502" t="s">
        <v>337</v>
      </c>
      <c r="B16" s="503" t="s">
        <v>213</v>
      </c>
      <c r="C16" s="503" t="s">
        <v>213</v>
      </c>
      <c r="D16" s="503" t="s">
        <v>213</v>
      </c>
      <c r="E16" s="503">
        <v>158</v>
      </c>
      <c r="F16" s="503">
        <v>95</v>
      </c>
      <c r="G16" s="504">
        <v>149</v>
      </c>
      <c r="H16" s="503">
        <v>199</v>
      </c>
      <c r="I16" s="503">
        <v>270.10000000000002</v>
      </c>
      <c r="J16" s="503">
        <v>172</v>
      </c>
      <c r="K16" s="503">
        <v>219</v>
      </c>
      <c r="L16" s="503">
        <v>200</v>
      </c>
    </row>
    <row r="17" spans="1:12" x14ac:dyDescent="0.3">
      <c r="A17" s="502" t="s">
        <v>338</v>
      </c>
      <c r="B17" s="503" t="s">
        <v>213</v>
      </c>
      <c r="C17" s="503" t="s">
        <v>213</v>
      </c>
      <c r="D17" s="503" t="s">
        <v>213</v>
      </c>
      <c r="E17" s="503" t="s">
        <v>213</v>
      </c>
      <c r="F17" s="503">
        <v>73</v>
      </c>
      <c r="G17" s="504">
        <v>76</v>
      </c>
      <c r="H17" s="503">
        <v>60</v>
      </c>
      <c r="I17" s="503">
        <v>31.4</v>
      </c>
      <c r="J17" s="503">
        <v>14</v>
      </c>
      <c r="K17" s="503">
        <v>17</v>
      </c>
      <c r="L17" s="503">
        <v>80</v>
      </c>
    </row>
    <row r="18" spans="1:12" x14ac:dyDescent="0.3">
      <c r="A18" s="499" t="s">
        <v>339</v>
      </c>
      <c r="B18" s="501">
        <v>58</v>
      </c>
      <c r="C18" s="501">
        <v>98</v>
      </c>
      <c r="D18" s="501">
        <v>213</v>
      </c>
      <c r="E18" s="501">
        <v>198</v>
      </c>
      <c r="F18" s="501">
        <v>190</v>
      </c>
      <c r="G18" s="501">
        <v>195.8</v>
      </c>
      <c r="H18" s="501">
        <v>300</v>
      </c>
      <c r="I18" s="501">
        <v>300.39999999999998</v>
      </c>
      <c r="J18" s="501">
        <v>208</v>
      </c>
      <c r="K18" s="501">
        <v>216</v>
      </c>
      <c r="L18" s="501">
        <v>474</v>
      </c>
    </row>
    <row r="19" spans="1:12" x14ac:dyDescent="0.3">
      <c r="A19" s="502" t="s">
        <v>340</v>
      </c>
      <c r="B19" s="503">
        <v>46</v>
      </c>
      <c r="C19" s="503">
        <v>89</v>
      </c>
      <c r="D19" s="503">
        <v>173</v>
      </c>
      <c r="E19" s="503">
        <v>158</v>
      </c>
      <c r="F19" s="503">
        <v>164</v>
      </c>
      <c r="G19" s="504">
        <v>164.9</v>
      </c>
      <c r="H19" s="503">
        <v>269</v>
      </c>
      <c r="I19" s="503">
        <v>269.89999999999998</v>
      </c>
      <c r="J19" s="503" t="s">
        <v>213</v>
      </c>
      <c r="K19" s="503" t="s">
        <v>213</v>
      </c>
      <c r="L19" s="503" t="s">
        <v>213</v>
      </c>
    </row>
    <row r="20" spans="1:12" x14ac:dyDescent="0.3">
      <c r="A20" s="502" t="s">
        <v>341</v>
      </c>
      <c r="B20" s="503">
        <v>12</v>
      </c>
      <c r="C20" s="503">
        <v>9</v>
      </c>
      <c r="D20" s="503">
        <v>40</v>
      </c>
      <c r="E20" s="503">
        <v>32</v>
      </c>
      <c r="F20" s="503">
        <v>26</v>
      </c>
      <c r="G20" s="504">
        <v>30.9</v>
      </c>
      <c r="H20" s="503">
        <v>31</v>
      </c>
      <c r="I20" s="503">
        <v>30.5</v>
      </c>
      <c r="J20" s="503">
        <v>31</v>
      </c>
      <c r="K20" s="503">
        <v>21</v>
      </c>
      <c r="L20" s="503">
        <v>21</v>
      </c>
    </row>
    <row r="21" spans="1:12" x14ac:dyDescent="0.3">
      <c r="A21" s="502" t="s">
        <v>342</v>
      </c>
      <c r="B21" s="503" t="s">
        <v>213</v>
      </c>
      <c r="C21" s="503" t="s">
        <v>213</v>
      </c>
      <c r="D21" s="503" t="s">
        <v>213</v>
      </c>
      <c r="E21" s="503">
        <v>8</v>
      </c>
      <c r="F21" s="503" t="s">
        <v>213</v>
      </c>
      <c r="G21" s="503" t="s">
        <v>213</v>
      </c>
      <c r="H21" s="503" t="s">
        <v>213</v>
      </c>
      <c r="I21" s="503" t="s">
        <v>213</v>
      </c>
      <c r="J21" s="503" t="s">
        <v>213</v>
      </c>
      <c r="K21" s="503" t="s">
        <v>213</v>
      </c>
      <c r="L21" s="503" t="s">
        <v>213</v>
      </c>
    </row>
    <row r="22" spans="1:12" x14ac:dyDescent="0.3">
      <c r="A22" s="499" t="s">
        <v>343</v>
      </c>
      <c r="B22" s="505"/>
      <c r="C22" s="505"/>
      <c r="D22" s="505"/>
      <c r="E22" s="505"/>
      <c r="F22" s="505"/>
      <c r="G22" s="505">
        <v>25</v>
      </c>
      <c r="H22" s="505">
        <v>16</v>
      </c>
      <c r="I22" s="505">
        <v>26</v>
      </c>
      <c r="J22" s="503">
        <v>21</v>
      </c>
      <c r="K22" s="503">
        <v>17</v>
      </c>
      <c r="L22" s="503">
        <v>15</v>
      </c>
    </row>
    <row r="23" spans="1:12" x14ac:dyDescent="0.3">
      <c r="A23" s="499" t="s">
        <v>344</v>
      </c>
      <c r="B23" s="503" t="s">
        <v>213</v>
      </c>
      <c r="C23" s="503" t="s">
        <v>213</v>
      </c>
      <c r="D23" s="503" t="s">
        <v>213</v>
      </c>
      <c r="E23" s="503" t="s">
        <v>213</v>
      </c>
      <c r="F23" s="505" t="s">
        <v>345</v>
      </c>
      <c r="G23" s="504">
        <v>24.9</v>
      </c>
      <c r="H23" s="501">
        <v>16</v>
      </c>
      <c r="I23" s="501">
        <v>26</v>
      </c>
    </row>
    <row r="24" spans="1:12" x14ac:dyDescent="0.3">
      <c r="A24" s="499" t="s">
        <v>346</v>
      </c>
      <c r="B24" s="503" t="s">
        <v>213</v>
      </c>
      <c r="C24" s="503" t="s">
        <v>213</v>
      </c>
      <c r="D24" s="501">
        <v>20</v>
      </c>
      <c r="E24" s="501">
        <v>19</v>
      </c>
      <c r="F24" s="501">
        <v>5</v>
      </c>
      <c r="G24" s="501">
        <v>8</v>
      </c>
      <c r="H24" s="501">
        <v>5</v>
      </c>
      <c r="I24" s="501">
        <v>2</v>
      </c>
    </row>
    <row r="25" spans="1:12" x14ac:dyDescent="0.3">
      <c r="A25" s="502" t="s">
        <v>347</v>
      </c>
      <c r="B25" s="503" t="s">
        <v>213</v>
      </c>
      <c r="C25" s="503" t="s">
        <v>213</v>
      </c>
      <c r="D25" s="503">
        <v>20</v>
      </c>
      <c r="E25" s="503">
        <v>19</v>
      </c>
      <c r="F25" s="503">
        <v>5</v>
      </c>
      <c r="G25" s="504">
        <v>8</v>
      </c>
      <c r="H25" s="503">
        <v>5</v>
      </c>
      <c r="I25" s="503">
        <v>2</v>
      </c>
    </row>
    <row r="26" spans="1:12" x14ac:dyDescent="0.3">
      <c r="A26" s="499" t="s">
        <v>348</v>
      </c>
      <c r="B26" s="501">
        <v>116</v>
      </c>
      <c r="C26" s="501">
        <v>232</v>
      </c>
      <c r="D26" s="501">
        <v>339</v>
      </c>
      <c r="E26" s="501">
        <v>292</v>
      </c>
      <c r="F26" s="501">
        <v>296</v>
      </c>
      <c r="G26" s="501">
        <v>286.5</v>
      </c>
      <c r="H26" s="501">
        <v>332</v>
      </c>
      <c r="I26" s="501">
        <v>386</v>
      </c>
      <c r="J26" s="501">
        <v>350</v>
      </c>
      <c r="K26" s="501">
        <v>363</v>
      </c>
      <c r="L26" s="501">
        <v>24</v>
      </c>
    </row>
    <row r="27" spans="1:12" x14ac:dyDescent="0.3">
      <c r="A27" s="502" t="s">
        <v>349</v>
      </c>
      <c r="B27" s="503">
        <v>116</v>
      </c>
      <c r="C27" s="503">
        <v>170</v>
      </c>
      <c r="D27" s="503">
        <v>230</v>
      </c>
      <c r="E27" s="503">
        <v>235</v>
      </c>
      <c r="F27" s="503">
        <v>270</v>
      </c>
      <c r="G27" s="504">
        <v>285.10000000000002</v>
      </c>
      <c r="H27" s="503">
        <v>305</v>
      </c>
      <c r="I27" s="503">
        <v>325</v>
      </c>
      <c r="J27" s="503">
        <v>332</v>
      </c>
      <c r="K27" s="503">
        <v>343</v>
      </c>
    </row>
    <row r="28" spans="1:12" x14ac:dyDescent="0.3">
      <c r="A28" s="502" t="s">
        <v>350</v>
      </c>
      <c r="B28" s="505" t="s">
        <v>180</v>
      </c>
      <c r="C28" s="503">
        <v>62</v>
      </c>
      <c r="D28" s="503">
        <v>109</v>
      </c>
      <c r="E28" s="503">
        <v>57</v>
      </c>
      <c r="F28" s="505">
        <v>26</v>
      </c>
      <c r="G28" s="504">
        <v>1.4</v>
      </c>
      <c r="H28" s="505">
        <v>27</v>
      </c>
      <c r="I28" s="503">
        <v>61</v>
      </c>
      <c r="J28" s="503">
        <v>18</v>
      </c>
      <c r="K28" s="503">
        <v>20</v>
      </c>
      <c r="L28" s="503">
        <v>24</v>
      </c>
    </row>
    <row r="29" spans="1:12" x14ac:dyDescent="0.3">
      <c r="A29" s="499" t="s">
        <v>351</v>
      </c>
      <c r="B29" s="501">
        <v>31</v>
      </c>
      <c r="C29" s="501">
        <v>37</v>
      </c>
      <c r="D29" s="501">
        <v>100</v>
      </c>
      <c r="E29" s="501">
        <v>126</v>
      </c>
      <c r="F29" s="501">
        <v>62</v>
      </c>
      <c r="G29" s="501">
        <v>248</v>
      </c>
      <c r="H29" s="501">
        <v>467</v>
      </c>
      <c r="I29" s="501">
        <v>432</v>
      </c>
      <c r="J29" s="501">
        <v>228</v>
      </c>
      <c r="K29" s="501">
        <v>326</v>
      </c>
      <c r="L29" s="501">
        <v>260</v>
      </c>
    </row>
    <row r="30" spans="1:12" x14ac:dyDescent="0.3">
      <c r="A30" s="502" t="s">
        <v>352</v>
      </c>
      <c r="B30" s="503">
        <v>31</v>
      </c>
      <c r="C30" s="503">
        <v>37</v>
      </c>
      <c r="D30" s="503">
        <v>100</v>
      </c>
      <c r="E30" s="503">
        <v>100</v>
      </c>
      <c r="F30" s="503" t="s">
        <v>213</v>
      </c>
      <c r="G30" s="503" t="s">
        <v>213</v>
      </c>
      <c r="H30" s="503" t="s">
        <v>213</v>
      </c>
      <c r="I30" s="503" t="s">
        <v>213</v>
      </c>
    </row>
    <row r="31" spans="1:12" x14ac:dyDescent="0.3">
      <c r="A31" s="502" t="s">
        <v>353</v>
      </c>
      <c r="B31" s="503" t="s">
        <v>213</v>
      </c>
      <c r="C31" s="503" t="s">
        <v>213</v>
      </c>
      <c r="D31" s="503" t="s">
        <v>213</v>
      </c>
      <c r="E31" s="503">
        <v>26</v>
      </c>
      <c r="F31" s="503">
        <v>62</v>
      </c>
      <c r="G31" s="504">
        <v>154</v>
      </c>
      <c r="H31" s="503">
        <v>316</v>
      </c>
      <c r="I31" s="503">
        <v>292</v>
      </c>
      <c r="J31" s="503">
        <v>74</v>
      </c>
      <c r="K31" s="503">
        <v>55</v>
      </c>
      <c r="L31" s="503">
        <v>70</v>
      </c>
    </row>
    <row r="32" spans="1:12" x14ac:dyDescent="0.3">
      <c r="A32" s="502" t="s">
        <v>354</v>
      </c>
      <c r="B32" s="503" t="s">
        <v>213</v>
      </c>
      <c r="C32" s="503" t="s">
        <v>213</v>
      </c>
      <c r="D32" s="503" t="s">
        <v>213</v>
      </c>
      <c r="E32" s="505"/>
      <c r="F32" s="505" t="s">
        <v>345</v>
      </c>
      <c r="G32" s="504">
        <v>94</v>
      </c>
      <c r="H32" s="503">
        <v>151</v>
      </c>
      <c r="I32" s="503">
        <v>140</v>
      </c>
      <c r="J32" s="503">
        <v>154</v>
      </c>
      <c r="K32" s="503">
        <v>271</v>
      </c>
      <c r="L32" s="503">
        <v>190</v>
      </c>
    </row>
    <row r="33" spans="1:12" x14ac:dyDescent="0.3">
      <c r="A33" s="499" t="s">
        <v>355</v>
      </c>
      <c r="B33" s="503" t="s">
        <v>213</v>
      </c>
      <c r="C33" s="503" t="s">
        <v>213</v>
      </c>
      <c r="D33" s="503" t="s">
        <v>213</v>
      </c>
      <c r="E33" s="501">
        <v>220</v>
      </c>
      <c r="F33" s="501">
        <v>220</v>
      </c>
      <c r="G33" s="501">
        <v>219.9</v>
      </c>
      <c r="H33" s="501">
        <v>120</v>
      </c>
      <c r="I33" s="501">
        <v>91</v>
      </c>
      <c r="J33" s="501">
        <v>42</v>
      </c>
      <c r="K33" s="501">
        <v>50</v>
      </c>
      <c r="L33" s="501">
        <v>44</v>
      </c>
    </row>
    <row r="34" spans="1:12" x14ac:dyDescent="0.3">
      <c r="A34" s="502" t="s">
        <v>356</v>
      </c>
      <c r="B34" s="503" t="s">
        <v>213</v>
      </c>
      <c r="C34" s="503" t="s">
        <v>213</v>
      </c>
      <c r="D34" s="503" t="s">
        <v>213</v>
      </c>
      <c r="E34" s="503">
        <v>220</v>
      </c>
      <c r="F34" s="503">
        <v>220</v>
      </c>
      <c r="G34" s="504">
        <v>219.9</v>
      </c>
      <c r="H34" s="503">
        <v>120</v>
      </c>
      <c r="I34" s="503">
        <v>91</v>
      </c>
      <c r="J34" s="503">
        <v>42</v>
      </c>
      <c r="K34" s="503">
        <v>50</v>
      </c>
      <c r="L34" s="503">
        <v>44</v>
      </c>
    </row>
    <row r="35" spans="1:12" x14ac:dyDescent="0.3">
      <c r="A35" s="499" t="s">
        <v>357</v>
      </c>
      <c r="B35" s="503" t="s">
        <v>213</v>
      </c>
      <c r="C35" s="501">
        <v>64</v>
      </c>
      <c r="D35" s="501">
        <v>58</v>
      </c>
      <c r="E35" s="501">
        <v>55</v>
      </c>
      <c r="F35" s="501">
        <v>35</v>
      </c>
      <c r="G35" s="501">
        <v>37</v>
      </c>
      <c r="H35" s="501">
        <v>118</v>
      </c>
      <c r="I35" s="501">
        <v>71</v>
      </c>
      <c r="J35" s="501">
        <v>129</v>
      </c>
      <c r="K35" s="501">
        <v>111</v>
      </c>
      <c r="L35" s="501">
        <v>203</v>
      </c>
    </row>
    <row r="36" spans="1:12" x14ac:dyDescent="0.3">
      <c r="A36" s="502" t="s">
        <v>358</v>
      </c>
      <c r="B36" s="503" t="s">
        <v>213</v>
      </c>
      <c r="C36" s="503">
        <v>64</v>
      </c>
      <c r="D36" s="503">
        <v>58</v>
      </c>
      <c r="E36" s="503">
        <v>55</v>
      </c>
      <c r="F36" s="503">
        <v>35</v>
      </c>
      <c r="G36" s="504">
        <v>37</v>
      </c>
      <c r="H36" s="503">
        <v>118</v>
      </c>
      <c r="I36" s="503">
        <v>71</v>
      </c>
    </row>
    <row r="37" spans="1:12" x14ac:dyDescent="0.3">
      <c r="A37" s="499" t="s">
        <v>359</v>
      </c>
      <c r="B37" s="503" t="s">
        <v>213</v>
      </c>
      <c r="C37" s="503" t="s">
        <v>213</v>
      </c>
      <c r="D37" s="503" t="s">
        <v>213</v>
      </c>
      <c r="E37" s="503" t="s">
        <v>213</v>
      </c>
      <c r="F37" s="503">
        <v>41</v>
      </c>
      <c r="G37" s="503" t="s">
        <v>213</v>
      </c>
      <c r="H37" s="501">
        <v>68</v>
      </c>
      <c r="I37" s="501">
        <v>112</v>
      </c>
      <c r="J37" s="501">
        <v>101</v>
      </c>
      <c r="K37" s="501">
        <v>72</v>
      </c>
      <c r="L37" s="501">
        <v>40</v>
      </c>
    </row>
    <row r="38" spans="1:12" x14ac:dyDescent="0.3">
      <c r="A38" s="502" t="s">
        <v>360</v>
      </c>
      <c r="B38" s="503" t="s">
        <v>213</v>
      </c>
      <c r="C38" s="503" t="s">
        <v>213</v>
      </c>
      <c r="D38" s="503" t="s">
        <v>213</v>
      </c>
      <c r="E38" s="503" t="s">
        <v>213</v>
      </c>
      <c r="F38" s="503">
        <v>41</v>
      </c>
      <c r="G38" s="503" t="s">
        <v>213</v>
      </c>
      <c r="H38" s="503">
        <v>68</v>
      </c>
      <c r="I38" s="503">
        <v>112</v>
      </c>
      <c r="J38" s="503">
        <v>101</v>
      </c>
      <c r="K38" s="503">
        <v>72</v>
      </c>
      <c r="L38" s="503">
        <v>40</v>
      </c>
    </row>
    <row r="39" spans="1:12" x14ac:dyDescent="0.3">
      <c r="A39" s="499" t="s">
        <v>361</v>
      </c>
      <c r="B39" s="503" t="s">
        <v>213</v>
      </c>
      <c r="C39" s="501">
        <v>14</v>
      </c>
      <c r="D39" s="501">
        <v>36</v>
      </c>
      <c r="E39" s="501">
        <v>154</v>
      </c>
      <c r="F39" s="501">
        <v>216</v>
      </c>
      <c r="G39" s="501">
        <v>416</v>
      </c>
      <c r="H39" s="501">
        <v>113</v>
      </c>
      <c r="I39" s="501">
        <v>134</v>
      </c>
      <c r="J39" s="501">
        <v>596</v>
      </c>
      <c r="K39" s="501">
        <v>329</v>
      </c>
      <c r="L39" s="501">
        <v>258</v>
      </c>
    </row>
    <row r="40" spans="1:12" x14ac:dyDescent="0.3">
      <c r="A40" s="502" t="s">
        <v>362</v>
      </c>
      <c r="B40" s="503" t="s">
        <v>213</v>
      </c>
      <c r="C40" s="503">
        <v>14</v>
      </c>
      <c r="D40" s="503">
        <v>36</v>
      </c>
      <c r="E40" s="503">
        <v>154</v>
      </c>
      <c r="F40" s="503">
        <v>216</v>
      </c>
      <c r="G40" s="504">
        <v>216</v>
      </c>
      <c r="H40" s="503">
        <v>87</v>
      </c>
      <c r="I40" s="503">
        <v>129</v>
      </c>
      <c r="J40" s="503">
        <v>179</v>
      </c>
      <c r="K40" s="503">
        <v>102</v>
      </c>
      <c r="L40" s="503">
        <v>154</v>
      </c>
    </row>
    <row r="41" spans="1:12" x14ac:dyDescent="0.3">
      <c r="A41" s="502" t="s">
        <v>363</v>
      </c>
      <c r="B41" s="503" t="s">
        <v>213</v>
      </c>
      <c r="C41" s="503" t="s">
        <v>213</v>
      </c>
      <c r="D41" s="503" t="s">
        <v>213</v>
      </c>
      <c r="E41" s="503" t="s">
        <v>213</v>
      </c>
      <c r="F41" s="503" t="s">
        <v>213</v>
      </c>
      <c r="G41" s="504">
        <v>197</v>
      </c>
      <c r="H41" s="503" t="s">
        <v>213</v>
      </c>
      <c r="I41" s="503" t="s">
        <v>213</v>
      </c>
    </row>
    <row r="42" spans="1:12" x14ac:dyDescent="0.3">
      <c r="A42" s="502" t="s">
        <v>364</v>
      </c>
      <c r="B42" s="503" t="s">
        <v>213</v>
      </c>
      <c r="C42" s="503" t="s">
        <v>213</v>
      </c>
      <c r="D42" s="503" t="s">
        <v>213</v>
      </c>
      <c r="E42" s="503" t="s">
        <v>213</v>
      </c>
      <c r="F42" s="503" t="s">
        <v>213</v>
      </c>
      <c r="G42" s="504">
        <v>3</v>
      </c>
      <c r="H42" s="503">
        <v>26</v>
      </c>
      <c r="I42" s="503">
        <v>5</v>
      </c>
      <c r="J42" s="503">
        <v>15</v>
      </c>
      <c r="K42" s="503">
        <v>20</v>
      </c>
    </row>
    <row r="43" spans="1:12" x14ac:dyDescent="0.3">
      <c r="A43" s="499" t="s">
        <v>365</v>
      </c>
      <c r="B43" s="501">
        <v>10</v>
      </c>
      <c r="C43" s="501">
        <v>11</v>
      </c>
      <c r="D43" s="501">
        <v>50</v>
      </c>
      <c r="E43" s="501">
        <v>48</v>
      </c>
      <c r="F43" s="501">
        <v>15</v>
      </c>
      <c r="G43" s="501">
        <v>17</v>
      </c>
      <c r="H43" s="501">
        <v>17</v>
      </c>
      <c r="I43" s="501">
        <v>7</v>
      </c>
      <c r="J43" s="501">
        <v>6</v>
      </c>
      <c r="K43" s="501">
        <v>9</v>
      </c>
      <c r="L43" s="501">
        <v>1</v>
      </c>
    </row>
    <row r="44" spans="1:12" x14ac:dyDescent="0.3">
      <c r="A44" s="502" t="s">
        <v>366</v>
      </c>
      <c r="B44" s="503">
        <v>10</v>
      </c>
      <c r="C44" s="503">
        <v>11</v>
      </c>
      <c r="D44" s="503">
        <v>50</v>
      </c>
      <c r="E44" s="503">
        <v>48</v>
      </c>
      <c r="F44" s="503">
        <v>15</v>
      </c>
      <c r="G44" s="504">
        <v>17</v>
      </c>
      <c r="H44" s="503">
        <v>17</v>
      </c>
      <c r="I44" s="503">
        <v>7</v>
      </c>
      <c r="J44" s="503">
        <v>6</v>
      </c>
      <c r="K44" s="503">
        <v>9</v>
      </c>
      <c r="L44" s="503">
        <v>1</v>
      </c>
    </row>
    <row r="45" spans="1:12" x14ac:dyDescent="0.3">
      <c r="A45" s="499" t="s">
        <v>367</v>
      </c>
      <c r="B45" s="501">
        <v>15</v>
      </c>
      <c r="C45" s="501">
        <v>10</v>
      </c>
      <c r="D45" s="501">
        <v>36</v>
      </c>
      <c r="E45" s="501">
        <v>60</v>
      </c>
      <c r="F45" s="501">
        <v>87</v>
      </c>
      <c r="G45" s="501">
        <v>148</v>
      </c>
      <c r="H45" s="501">
        <v>133</v>
      </c>
      <c r="I45" s="501">
        <v>178.5</v>
      </c>
      <c r="J45" s="501">
        <v>210</v>
      </c>
      <c r="K45" s="501">
        <v>291</v>
      </c>
      <c r="L45" s="501">
        <v>198</v>
      </c>
    </row>
    <row r="46" spans="1:12" x14ac:dyDescent="0.3">
      <c r="A46" s="502" t="s">
        <v>368</v>
      </c>
      <c r="B46" s="503">
        <v>15</v>
      </c>
      <c r="C46" s="503">
        <v>10</v>
      </c>
      <c r="D46" s="503">
        <v>36</v>
      </c>
      <c r="E46" s="503">
        <v>36</v>
      </c>
      <c r="F46" s="503">
        <v>43</v>
      </c>
      <c r="G46" s="504">
        <v>18</v>
      </c>
      <c r="H46" s="503">
        <v>17</v>
      </c>
      <c r="I46" s="503">
        <v>49</v>
      </c>
      <c r="J46" s="503">
        <v>45</v>
      </c>
      <c r="K46" s="503">
        <v>43</v>
      </c>
    </row>
    <row r="47" spans="1:12" x14ac:dyDescent="0.3">
      <c r="A47" s="502" t="s">
        <v>369</v>
      </c>
      <c r="B47" s="503" t="s">
        <v>213</v>
      </c>
      <c r="C47" s="503" t="s">
        <v>213</v>
      </c>
      <c r="D47" s="503" t="s">
        <v>213</v>
      </c>
      <c r="E47" s="503">
        <v>24</v>
      </c>
      <c r="F47" s="503">
        <v>44</v>
      </c>
      <c r="G47" s="504">
        <v>30</v>
      </c>
      <c r="H47" s="503">
        <v>31</v>
      </c>
      <c r="I47" s="503">
        <v>19</v>
      </c>
      <c r="J47" s="503">
        <v>20</v>
      </c>
      <c r="K47" s="503">
        <v>9</v>
      </c>
    </row>
    <row r="48" spans="1:12" x14ac:dyDescent="0.3">
      <c r="A48" s="506" t="s">
        <v>370</v>
      </c>
      <c r="B48" s="507"/>
      <c r="C48" s="507"/>
      <c r="D48" s="507"/>
      <c r="E48" s="507"/>
      <c r="F48" s="507"/>
      <c r="G48" s="507"/>
      <c r="H48" s="507"/>
      <c r="I48" s="507"/>
    </row>
    <row r="49" spans="1:12" x14ac:dyDescent="0.3">
      <c r="A49" s="506" t="s">
        <v>371</v>
      </c>
      <c r="B49" s="503" t="s">
        <v>213</v>
      </c>
      <c r="C49" s="503" t="s">
        <v>213</v>
      </c>
      <c r="D49" s="503" t="s">
        <v>213</v>
      </c>
      <c r="E49" s="503" t="s">
        <v>213</v>
      </c>
      <c r="F49" s="505" t="s">
        <v>345</v>
      </c>
      <c r="G49" s="504">
        <v>100</v>
      </c>
      <c r="H49" s="503">
        <v>85</v>
      </c>
      <c r="I49" s="503">
        <v>90.1</v>
      </c>
      <c r="J49" s="503">
        <v>145</v>
      </c>
      <c r="K49" s="503">
        <v>239</v>
      </c>
      <c r="L49" s="503">
        <v>198</v>
      </c>
    </row>
    <row r="50" spans="1:12" x14ac:dyDescent="0.3">
      <c r="A50" s="506" t="s">
        <v>372</v>
      </c>
      <c r="B50" s="503" t="s">
        <v>213</v>
      </c>
      <c r="C50" s="503" t="s">
        <v>213</v>
      </c>
      <c r="D50" s="503" t="s">
        <v>213</v>
      </c>
      <c r="E50" s="503" t="s">
        <v>213</v>
      </c>
      <c r="F50" s="503" t="s">
        <v>213</v>
      </c>
      <c r="G50" s="503" t="s">
        <v>213</v>
      </c>
      <c r="H50" s="503" t="s">
        <v>345</v>
      </c>
      <c r="I50" s="503">
        <v>20.399999999999999</v>
      </c>
    </row>
    <row r="51" spans="1:12" x14ac:dyDescent="0.3">
      <c r="A51" s="499" t="s">
        <v>373</v>
      </c>
      <c r="B51" s="503" t="s">
        <v>213</v>
      </c>
      <c r="C51" s="503" t="s">
        <v>213</v>
      </c>
      <c r="D51" s="501">
        <v>79</v>
      </c>
      <c r="E51" s="501">
        <v>131</v>
      </c>
      <c r="F51" s="501">
        <v>157</v>
      </c>
      <c r="G51" s="501">
        <v>167</v>
      </c>
      <c r="H51" s="501">
        <v>195</v>
      </c>
      <c r="I51" s="501">
        <v>114</v>
      </c>
      <c r="J51" s="501">
        <v>45</v>
      </c>
      <c r="K51" s="501">
        <v>160</v>
      </c>
      <c r="L51" s="501">
        <v>150</v>
      </c>
    </row>
    <row r="52" spans="1:12" x14ac:dyDescent="0.3">
      <c r="A52" s="502" t="s">
        <v>374</v>
      </c>
      <c r="B52" s="503" t="s">
        <v>213</v>
      </c>
      <c r="C52" s="503" t="s">
        <v>213</v>
      </c>
      <c r="D52" s="503">
        <v>79</v>
      </c>
      <c r="E52" s="503">
        <v>131</v>
      </c>
      <c r="F52" s="503">
        <v>157</v>
      </c>
      <c r="G52" s="504">
        <v>167</v>
      </c>
      <c r="H52" s="503">
        <v>195</v>
      </c>
      <c r="I52" s="503">
        <v>114</v>
      </c>
      <c r="J52" s="503">
        <v>45</v>
      </c>
      <c r="K52" s="503">
        <v>160</v>
      </c>
      <c r="L52" s="503">
        <v>150</v>
      </c>
    </row>
    <row r="53" spans="1:12" x14ac:dyDescent="0.3">
      <c r="A53" s="499" t="s">
        <v>375</v>
      </c>
      <c r="B53" s="503" t="s">
        <v>213</v>
      </c>
      <c r="C53" s="501">
        <v>79</v>
      </c>
      <c r="D53" s="501">
        <v>598</v>
      </c>
      <c r="E53" s="503" t="s">
        <v>213</v>
      </c>
      <c r="F53" s="503" t="s">
        <v>213</v>
      </c>
      <c r="G53" s="503" t="s">
        <v>213</v>
      </c>
      <c r="H53" s="503" t="s">
        <v>213</v>
      </c>
      <c r="I53" s="503" t="s">
        <v>213</v>
      </c>
    </row>
    <row r="54" spans="1:12" x14ac:dyDescent="0.3">
      <c r="A54" s="499" t="s">
        <v>376</v>
      </c>
      <c r="B54" s="503" t="s">
        <v>213</v>
      </c>
      <c r="C54" s="501">
        <v>24</v>
      </c>
      <c r="D54" s="501">
        <v>32</v>
      </c>
      <c r="E54" s="501">
        <v>45</v>
      </c>
      <c r="F54" s="503" t="s">
        <v>213</v>
      </c>
      <c r="G54" s="503" t="s">
        <v>213</v>
      </c>
      <c r="H54" s="503" t="s">
        <v>213</v>
      </c>
      <c r="I54" s="503" t="s">
        <v>213</v>
      </c>
    </row>
    <row r="55" spans="1:12" x14ac:dyDescent="0.3">
      <c r="A55" s="502" t="s">
        <v>377</v>
      </c>
      <c r="B55" s="503" t="s">
        <v>213</v>
      </c>
      <c r="C55" s="503" t="s">
        <v>213</v>
      </c>
      <c r="D55" s="503" t="s">
        <v>213</v>
      </c>
      <c r="E55" s="503" t="s">
        <v>213</v>
      </c>
      <c r="F55" s="503" t="s">
        <v>213</v>
      </c>
      <c r="G55" s="503" t="s">
        <v>213</v>
      </c>
      <c r="H55" s="503" t="s">
        <v>213</v>
      </c>
      <c r="I55" s="503" t="s">
        <v>213</v>
      </c>
    </row>
    <row r="56" spans="1:12" x14ac:dyDescent="0.3">
      <c r="A56" s="502" t="s">
        <v>378</v>
      </c>
      <c r="B56" s="503" t="s">
        <v>213</v>
      </c>
      <c r="C56" s="503" t="s">
        <v>213</v>
      </c>
      <c r="D56" s="503" t="s">
        <v>213</v>
      </c>
      <c r="E56" s="503">
        <v>45</v>
      </c>
      <c r="F56" s="503" t="s">
        <v>213</v>
      </c>
      <c r="G56" s="503" t="s">
        <v>213</v>
      </c>
      <c r="H56" s="503" t="s">
        <v>213</v>
      </c>
      <c r="I56" s="503" t="s">
        <v>213</v>
      </c>
    </row>
    <row r="57" spans="1:12" x14ac:dyDescent="0.3">
      <c r="A57" s="499" t="s">
        <v>379</v>
      </c>
      <c r="B57" s="503" t="s">
        <v>213</v>
      </c>
      <c r="C57" s="503" t="s">
        <v>213</v>
      </c>
      <c r="D57" s="503" t="s">
        <v>213</v>
      </c>
      <c r="E57" s="503" t="s">
        <v>213</v>
      </c>
      <c r="F57" s="501">
        <v>13</v>
      </c>
      <c r="G57" s="504">
        <v>16.5</v>
      </c>
      <c r="H57" s="501">
        <v>25</v>
      </c>
      <c r="I57" s="501">
        <v>55</v>
      </c>
      <c r="J57" s="501">
        <v>69</v>
      </c>
      <c r="K57" s="501">
        <v>61</v>
      </c>
      <c r="L57" s="501">
        <v>65</v>
      </c>
    </row>
    <row r="58" spans="1:12" x14ac:dyDescent="0.3">
      <c r="A58" s="499" t="s">
        <v>380</v>
      </c>
      <c r="B58" s="503" t="s">
        <v>213</v>
      </c>
      <c r="C58" s="503" t="s">
        <v>213</v>
      </c>
      <c r="D58" s="503" t="s">
        <v>213</v>
      </c>
      <c r="E58" s="501">
        <v>614</v>
      </c>
      <c r="F58" s="501">
        <v>441</v>
      </c>
      <c r="G58" s="501">
        <v>491.4</v>
      </c>
      <c r="H58" s="501">
        <v>492</v>
      </c>
      <c r="I58" s="501">
        <v>533</v>
      </c>
      <c r="J58" s="501">
        <v>698</v>
      </c>
      <c r="K58" s="501">
        <v>704</v>
      </c>
      <c r="L58" s="501">
        <v>477</v>
      </c>
    </row>
    <row r="59" spans="1:12" x14ac:dyDescent="0.3">
      <c r="A59" s="502" t="s">
        <v>381</v>
      </c>
      <c r="B59" s="503" t="s">
        <v>213</v>
      </c>
      <c r="C59" s="503" t="s">
        <v>213</v>
      </c>
      <c r="D59" s="503" t="s">
        <v>213</v>
      </c>
      <c r="E59" s="503">
        <v>80</v>
      </c>
      <c r="F59" s="503">
        <v>25</v>
      </c>
      <c r="G59" s="504">
        <v>26</v>
      </c>
      <c r="H59" s="503">
        <v>24</v>
      </c>
      <c r="I59" s="503">
        <v>24</v>
      </c>
      <c r="J59" s="503">
        <v>35</v>
      </c>
      <c r="K59" s="503">
        <v>59</v>
      </c>
      <c r="L59" s="503">
        <v>64</v>
      </c>
    </row>
    <row r="60" spans="1:12" x14ac:dyDescent="0.3">
      <c r="A60" s="502" t="s">
        <v>382</v>
      </c>
      <c r="B60" s="503" t="s">
        <v>213</v>
      </c>
      <c r="C60" s="503" t="s">
        <v>213</v>
      </c>
      <c r="D60" s="503" t="s">
        <v>213</v>
      </c>
      <c r="E60" s="503">
        <v>474</v>
      </c>
      <c r="F60" s="503">
        <v>307</v>
      </c>
      <c r="G60" s="504">
        <v>318</v>
      </c>
      <c r="H60" s="503">
        <v>318</v>
      </c>
      <c r="I60" s="503">
        <v>318</v>
      </c>
      <c r="J60" s="503">
        <v>318</v>
      </c>
      <c r="K60" s="503">
        <v>316</v>
      </c>
      <c r="L60" s="503">
        <v>325</v>
      </c>
    </row>
    <row r="61" spans="1:12" x14ac:dyDescent="0.3">
      <c r="A61" s="502" t="s">
        <v>383</v>
      </c>
      <c r="B61" s="503" t="s">
        <v>213</v>
      </c>
      <c r="C61" s="503" t="s">
        <v>213</v>
      </c>
      <c r="D61" s="503" t="s">
        <v>213</v>
      </c>
      <c r="E61" s="503">
        <v>30</v>
      </c>
      <c r="F61" s="503">
        <v>70</v>
      </c>
      <c r="G61" s="504">
        <v>87.5</v>
      </c>
      <c r="H61" s="503">
        <v>96</v>
      </c>
      <c r="I61" s="503">
        <v>101</v>
      </c>
      <c r="J61" s="503">
        <v>295</v>
      </c>
      <c r="K61" s="503">
        <v>300</v>
      </c>
    </row>
    <row r="62" spans="1:12" x14ac:dyDescent="0.3">
      <c r="A62" s="502" t="s">
        <v>384</v>
      </c>
      <c r="B62" s="504" t="s">
        <v>213</v>
      </c>
      <c r="C62" s="504" t="s">
        <v>213</v>
      </c>
      <c r="D62" s="504" t="s">
        <v>213</v>
      </c>
      <c r="E62" s="504">
        <v>30</v>
      </c>
      <c r="F62" s="504">
        <v>39</v>
      </c>
      <c r="G62" s="504">
        <v>59.9</v>
      </c>
      <c r="H62" s="504">
        <v>54</v>
      </c>
      <c r="I62" s="504">
        <v>90</v>
      </c>
      <c r="J62" s="503">
        <v>50</v>
      </c>
      <c r="K62" s="503">
        <v>29</v>
      </c>
      <c r="L62" s="503">
        <v>88</v>
      </c>
    </row>
    <row r="63" spans="1:12" ht="6" customHeight="1" x14ac:dyDescent="0.3">
      <c r="A63" s="508"/>
      <c r="B63" s="509"/>
      <c r="C63" s="509"/>
      <c r="D63" s="509"/>
      <c r="E63" s="509"/>
      <c r="F63" s="509"/>
      <c r="G63" s="509"/>
      <c r="H63" s="509"/>
      <c r="I63" s="509"/>
    </row>
    <row r="64" spans="1:12" ht="9.9" customHeight="1" x14ac:dyDescent="0.3">
      <c r="A64" s="510" t="s">
        <v>385</v>
      </c>
      <c r="B64" s="511"/>
      <c r="C64" s="511"/>
      <c r="D64" s="511"/>
      <c r="E64" s="511"/>
      <c r="F64" s="511"/>
      <c r="G64" s="511"/>
      <c r="H64" s="511"/>
      <c r="I64" s="511"/>
    </row>
    <row r="65" spans="1:9" ht="9.9" customHeight="1" x14ac:dyDescent="0.3">
      <c r="A65" s="512" t="s">
        <v>386</v>
      </c>
      <c r="B65" s="513"/>
      <c r="C65" s="513"/>
      <c r="D65" s="513"/>
      <c r="E65" s="513"/>
      <c r="F65" s="513"/>
      <c r="G65" s="513"/>
      <c r="H65" s="513"/>
      <c r="I65" s="513"/>
    </row>
  </sheetData>
  <phoneticPr fontId="0" type="noConversion"/>
  <pageMargins left="0.75" right="0.75" top="1" bottom="1" header="0" footer="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32998-454A-4929-B007-9F00B8889740}">
  <dimension ref="A1:O74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ColWidth="11" defaultRowHeight="13" x14ac:dyDescent="0.3"/>
  <cols>
    <col min="1" max="1" width="30.33203125" customWidth="1"/>
  </cols>
  <sheetData>
    <row r="1" spans="1:15" x14ac:dyDescent="0.3">
      <c r="A1" s="107" t="s">
        <v>116</v>
      </c>
      <c r="B1" s="109"/>
      <c r="C1" s="108"/>
      <c r="D1" s="110"/>
      <c r="E1" s="110"/>
      <c r="F1" s="110"/>
      <c r="G1" s="110"/>
      <c r="H1" s="111"/>
      <c r="I1" s="112"/>
      <c r="J1" s="112"/>
      <c r="K1" s="112"/>
    </row>
    <row r="2" spans="1:15" x14ac:dyDescent="0.3">
      <c r="A2" s="113"/>
      <c r="B2" s="109"/>
      <c r="C2" s="108"/>
      <c r="D2" s="110"/>
      <c r="E2" s="110"/>
      <c r="F2" s="110"/>
      <c r="G2" s="110"/>
      <c r="H2" s="111"/>
      <c r="I2" s="112"/>
      <c r="J2" s="112"/>
      <c r="K2" s="112"/>
    </row>
    <row r="3" spans="1:15" x14ac:dyDescent="0.3">
      <c r="A3" s="114" t="s">
        <v>117</v>
      </c>
      <c r="B3" s="115"/>
      <c r="C3" s="116"/>
      <c r="D3" s="117" t="s">
        <v>23</v>
      </c>
      <c r="E3" s="116"/>
      <c r="F3" s="118"/>
      <c r="G3" s="116"/>
      <c r="H3" s="116"/>
      <c r="I3" s="116"/>
      <c r="J3" s="116"/>
      <c r="K3" s="116"/>
    </row>
    <row r="4" spans="1:15" x14ac:dyDescent="0.3">
      <c r="A4" s="119"/>
      <c r="B4" s="120">
        <v>1991</v>
      </c>
      <c r="C4" s="120">
        <v>1992</v>
      </c>
      <c r="D4" s="120">
        <v>1993</v>
      </c>
      <c r="E4" s="350">
        <v>1994</v>
      </c>
      <c r="F4" s="120">
        <v>1995</v>
      </c>
      <c r="G4" s="120">
        <v>1996</v>
      </c>
      <c r="H4" s="120">
        <v>1997</v>
      </c>
      <c r="I4" s="120">
        <v>1998</v>
      </c>
      <c r="J4" s="120">
        <v>1999</v>
      </c>
      <c r="K4" s="120">
        <v>2000</v>
      </c>
      <c r="L4" s="120" t="s">
        <v>613</v>
      </c>
      <c r="M4" s="120" t="s">
        <v>615</v>
      </c>
      <c r="N4" s="120" t="s">
        <v>619</v>
      </c>
      <c r="O4">
        <v>2004</v>
      </c>
    </row>
    <row r="5" spans="1:15" x14ac:dyDescent="0.3">
      <c r="A5" s="119"/>
      <c r="B5" s="120"/>
      <c r="C5" s="120"/>
      <c r="D5" s="120"/>
      <c r="E5" s="350"/>
      <c r="F5" s="120"/>
      <c r="G5" s="120"/>
      <c r="H5" s="120"/>
      <c r="I5" s="120"/>
      <c r="J5" s="120"/>
      <c r="K5" s="120"/>
    </row>
    <row r="6" spans="1:15" x14ac:dyDescent="0.3">
      <c r="A6" s="121" t="s">
        <v>118</v>
      </c>
      <c r="B6" s="122">
        <v>3876.7346070778167</v>
      </c>
      <c r="C6" s="122">
        <v>7836.8534872770588</v>
      </c>
      <c r="D6" s="123">
        <v>11880.438225288346</v>
      </c>
      <c r="E6" s="352">
        <v>17931.185688105415</v>
      </c>
      <c r="F6" s="123">
        <v>22828.077226963018</v>
      </c>
      <c r="G6" s="123">
        <v>24240.262407448317</v>
      </c>
      <c r="H6" s="123">
        <v>26584.659363480972</v>
      </c>
      <c r="I6" s="123">
        <v>28603.649717934626</v>
      </c>
      <c r="J6" s="123">
        <v>31505.556911295316</v>
      </c>
      <c r="K6" s="123">
        <v>33437.004136937598</v>
      </c>
      <c r="L6" s="123">
        <v>32640.086897977031</v>
      </c>
      <c r="M6" s="123">
        <v>33193.777836041918</v>
      </c>
      <c r="N6" s="123">
        <v>35650.322428751249</v>
      </c>
      <c r="O6" s="624">
        <v>38577.830705791734</v>
      </c>
    </row>
    <row r="7" spans="1:15" x14ac:dyDescent="0.3">
      <c r="A7" s="124" t="s">
        <v>119</v>
      </c>
      <c r="B7" s="125">
        <v>2841.7511070778169</v>
      </c>
      <c r="C7" s="125">
        <v>5838.8489872770588</v>
      </c>
      <c r="D7" s="126">
        <v>8992.4812252883457</v>
      </c>
      <c r="E7" s="353">
        <v>14362.381688105415</v>
      </c>
      <c r="F7" s="127">
        <v>18782.017225666466</v>
      </c>
      <c r="G7" s="127">
        <v>20797.583407448317</v>
      </c>
      <c r="H7" s="127">
        <v>23792.656933346265</v>
      </c>
      <c r="I7" s="127">
        <v>25484.866790934626</v>
      </c>
      <c r="J7" s="127">
        <v>27835.481312230917</v>
      </c>
      <c r="K7" s="127">
        <v>29360.199152196205</v>
      </c>
      <c r="L7" s="127">
        <v>28580.017619167033</v>
      </c>
      <c r="M7" s="127">
        <v>29240.743451722337</v>
      </c>
      <c r="N7" s="127">
        <v>31459.54995875125</v>
      </c>
      <c r="O7" s="624">
        <v>34166.495071996709</v>
      </c>
    </row>
    <row r="8" spans="1:15" x14ac:dyDescent="0.3">
      <c r="A8" s="128" t="s">
        <v>175</v>
      </c>
      <c r="B8" s="125">
        <v>2319.0687467279167</v>
      </c>
      <c r="C8" s="125">
        <v>4401.3467469328716</v>
      </c>
      <c r="D8" s="126">
        <v>6448.0522456893295</v>
      </c>
      <c r="E8" s="353">
        <v>10020.896324216606</v>
      </c>
      <c r="F8" s="126">
        <v>13751.41846767164</v>
      </c>
      <c r="G8" s="126">
        <v>15749.154880844388</v>
      </c>
      <c r="H8" s="126">
        <v>17997.830053899288</v>
      </c>
      <c r="I8" s="126">
        <v>19862.33959389037</v>
      </c>
      <c r="J8" s="126">
        <v>21929.702434760613</v>
      </c>
      <c r="K8" s="126">
        <v>24101.218742337005</v>
      </c>
      <c r="L8" s="127">
        <v>24348.876359096139</v>
      </c>
      <c r="M8" s="127">
        <v>25284.617141332339</v>
      </c>
      <c r="N8" s="127">
        <v>27375.273425795349</v>
      </c>
      <c r="O8" s="626">
        <v>29869.684606311373</v>
      </c>
    </row>
    <row r="9" spans="1:15" x14ac:dyDescent="0.3">
      <c r="A9" s="129" t="s">
        <v>176</v>
      </c>
      <c r="B9" s="125">
        <v>910.87100004512672</v>
      </c>
      <c r="C9" s="125">
        <v>1770.1400000929914</v>
      </c>
      <c r="D9" s="126">
        <v>2659.4310000927794</v>
      </c>
      <c r="E9" s="353">
        <v>3865.595000181685</v>
      </c>
      <c r="F9" s="127">
        <v>5098.0185870848572</v>
      </c>
      <c r="G9" s="130">
        <v>5433.2501607780441</v>
      </c>
      <c r="H9" s="130">
        <v>6397.2623092932781</v>
      </c>
      <c r="I9" s="130">
        <v>6978.5710299721568</v>
      </c>
      <c r="J9" s="130">
        <v>7782.2689901144004</v>
      </c>
      <c r="K9" s="130">
        <v>8190.0534471784904</v>
      </c>
      <c r="L9" s="127">
        <v>8227.6145087706627</v>
      </c>
      <c r="M9" s="127">
        <v>8922.3723054999991</v>
      </c>
      <c r="N9" s="127">
        <v>9671.0082885299998</v>
      </c>
      <c r="O9" s="626">
        <v>10510.087685786024</v>
      </c>
    </row>
    <row r="10" spans="1:15" x14ac:dyDescent="0.3">
      <c r="A10" s="129" t="s">
        <v>177</v>
      </c>
      <c r="B10" s="125">
        <v>552.06874616299115</v>
      </c>
      <c r="C10" s="125">
        <v>965.97974537192658</v>
      </c>
      <c r="D10" s="126">
        <v>1413.4332448179466</v>
      </c>
      <c r="E10" s="353">
        <v>2570.0935384277441</v>
      </c>
      <c r="F10" s="126">
        <v>4027.024867604538</v>
      </c>
      <c r="G10" s="126">
        <v>5142.8464531888767</v>
      </c>
      <c r="H10" s="126">
        <v>5281.9344687958719</v>
      </c>
      <c r="I10" s="126">
        <v>6011.0565339919804</v>
      </c>
      <c r="J10" s="126">
        <v>6191.5762780011701</v>
      </c>
      <c r="K10" s="130">
        <v>7161.4414030001108</v>
      </c>
      <c r="L10" s="127">
        <v>7424.1635987738746</v>
      </c>
      <c r="M10" s="127">
        <v>6872.5592142164251</v>
      </c>
      <c r="N10" s="127">
        <v>7344.5560309583643</v>
      </c>
      <c r="O10" s="626">
        <v>8228.588029378905</v>
      </c>
    </row>
    <row r="11" spans="1:15" x14ac:dyDescent="0.3">
      <c r="A11" s="129" t="s">
        <v>178</v>
      </c>
      <c r="B11" s="125">
        <v>856.12900051979864</v>
      </c>
      <c r="C11" s="125">
        <v>1665.2270014679539</v>
      </c>
      <c r="D11" s="126">
        <v>2375.1880007786035</v>
      </c>
      <c r="E11" s="353">
        <v>3585.2077856071764</v>
      </c>
      <c r="F11" s="126">
        <v>4626.3750129822438</v>
      </c>
      <c r="G11" s="126">
        <v>5173.0582668774659</v>
      </c>
      <c r="H11" s="126">
        <v>6318.6332758101389</v>
      </c>
      <c r="I11" s="126">
        <v>6872.7120299262351</v>
      </c>
      <c r="J11" s="126">
        <v>7955.8571666450407</v>
      </c>
      <c r="K11" s="126">
        <v>8749.7238921584049</v>
      </c>
      <c r="L11" s="127">
        <v>8697.0982515516007</v>
      </c>
      <c r="M11" s="127">
        <v>9489.685621615914</v>
      </c>
      <c r="N11" s="127">
        <v>10359.709106306984</v>
      </c>
      <c r="O11" s="626">
        <v>11131.008891146445</v>
      </c>
    </row>
    <row r="12" spans="1:15" x14ac:dyDescent="0.3">
      <c r="A12" s="131" t="s">
        <v>179</v>
      </c>
      <c r="B12" s="125">
        <v>11.105</v>
      </c>
      <c r="C12" s="125">
        <v>47.436</v>
      </c>
      <c r="D12" s="126">
        <v>17.599</v>
      </c>
      <c r="E12" s="353">
        <v>8.0540000000000003</v>
      </c>
      <c r="F12" s="127">
        <v>10.6</v>
      </c>
      <c r="G12" s="130">
        <v>0</v>
      </c>
      <c r="H12" s="130">
        <v>0</v>
      </c>
      <c r="I12" s="130">
        <v>0</v>
      </c>
      <c r="J12" s="130">
        <v>0</v>
      </c>
      <c r="K12" s="130">
        <v>0</v>
      </c>
      <c r="L12" s="130">
        <v>0</v>
      </c>
      <c r="M12" s="130">
        <v>0</v>
      </c>
      <c r="N12" s="130">
        <v>0</v>
      </c>
      <c r="O12" s="402"/>
    </row>
    <row r="13" spans="1:15" x14ac:dyDescent="0.3">
      <c r="A13" s="131" t="s">
        <v>181</v>
      </c>
      <c r="B13" s="125">
        <v>167.744</v>
      </c>
      <c r="C13" s="125">
        <v>342.54700000000003</v>
      </c>
      <c r="D13" s="126">
        <v>574.53099999999995</v>
      </c>
      <c r="E13" s="353">
        <v>859.62900000000002</v>
      </c>
      <c r="F13" s="127">
        <v>1321.4878000000001</v>
      </c>
      <c r="G13" s="130">
        <v>1629.2726</v>
      </c>
      <c r="H13" s="130">
        <v>2034.9608192199998</v>
      </c>
      <c r="I13" s="130">
        <v>2389.3760200299998</v>
      </c>
      <c r="J13" s="130">
        <v>2713.5960947599997</v>
      </c>
      <c r="K13" s="130">
        <v>3154.2757319370007</v>
      </c>
      <c r="L13" s="356">
        <f t="shared" ref="L13:O14" si="0">+K13/K$11*L$11</f>
        <v>3135.3041868814535</v>
      </c>
      <c r="M13" s="356">
        <f t="shared" si="0"/>
        <v>3421.0319581399494</v>
      </c>
      <c r="N13" s="356">
        <f t="shared" si="0"/>
        <v>3734.6754511004269</v>
      </c>
      <c r="O13" s="356">
        <f t="shared" si="0"/>
        <v>4012.7290472313543</v>
      </c>
    </row>
    <row r="14" spans="1:15" x14ac:dyDescent="0.3">
      <c r="A14" s="131" t="s">
        <v>182</v>
      </c>
      <c r="B14" s="125">
        <v>291.86800001229193</v>
      </c>
      <c r="C14" s="125">
        <v>732.11500000667638</v>
      </c>
      <c r="D14" s="126">
        <v>1084.851000010945</v>
      </c>
      <c r="E14" s="353">
        <v>1612.7780000328346</v>
      </c>
      <c r="F14" s="127">
        <v>2128.4165951744808</v>
      </c>
      <c r="G14" s="127">
        <v>2239.380084332925</v>
      </c>
      <c r="H14" s="127">
        <v>2675.9375514254739</v>
      </c>
      <c r="I14" s="127">
        <v>2894.3277579994665</v>
      </c>
      <c r="J14" s="130">
        <v>3280.5491587489691</v>
      </c>
      <c r="K14" s="130">
        <v>3417.5909330739337</v>
      </c>
      <c r="L14" s="356">
        <f t="shared" si="0"/>
        <v>3397.0356659133085</v>
      </c>
      <c r="M14" s="356">
        <f t="shared" si="0"/>
        <v>3706.615653006194</v>
      </c>
      <c r="N14" s="356">
        <f t="shared" si="0"/>
        <v>4046.4417331761488</v>
      </c>
      <c r="O14" s="356">
        <f t="shared" si="0"/>
        <v>4347.7069140936419</v>
      </c>
    </row>
    <row r="15" spans="1:15" x14ac:dyDescent="0.3">
      <c r="A15" s="131" t="s">
        <v>92</v>
      </c>
      <c r="B15" s="125">
        <v>385.41200050750678</v>
      </c>
      <c r="C15" s="125">
        <v>543.12900146127754</v>
      </c>
      <c r="D15" s="126">
        <v>698.20700076765843</v>
      </c>
      <c r="E15" s="353">
        <v>1012.6830027171989</v>
      </c>
      <c r="F15" s="127">
        <v>1057.8711311410962</v>
      </c>
      <c r="G15" s="130">
        <v>1249.5354961713388</v>
      </c>
      <c r="H15" s="130">
        <v>1506.3464590218077</v>
      </c>
      <c r="I15" s="130">
        <v>1472.5426589810522</v>
      </c>
      <c r="J15" s="130">
        <v>1818.635295966073</v>
      </c>
      <c r="K15" s="130">
        <v>1936.2878970830866</v>
      </c>
      <c r="L15" s="356">
        <f>+L11-L14-L13</f>
        <v>2164.7583987568387</v>
      </c>
      <c r="M15" s="356">
        <f>+M11-M14-M13</f>
        <v>2362.0380104697701</v>
      </c>
      <c r="N15" s="356">
        <f>+N11-N14-N13</f>
        <v>2578.5919220304081</v>
      </c>
      <c r="O15" s="356">
        <f>+O11-O14-O13</f>
        <v>2770.5729298214483</v>
      </c>
    </row>
    <row r="16" spans="1:15" x14ac:dyDescent="0.3">
      <c r="A16" s="128" t="s">
        <v>183</v>
      </c>
      <c r="B16" s="125">
        <v>522.68236034990014</v>
      </c>
      <c r="C16" s="125">
        <v>1437.5022403441876</v>
      </c>
      <c r="D16" s="126">
        <v>2544.4289795990171</v>
      </c>
      <c r="E16" s="353">
        <v>4341.485363888808</v>
      </c>
      <c r="F16" s="126">
        <v>5030.5987579948251</v>
      </c>
      <c r="G16" s="126">
        <v>5048.4285266039287</v>
      </c>
      <c r="H16" s="126">
        <v>5794.8268794469759</v>
      </c>
      <c r="I16" s="126">
        <v>5622.5271970442554</v>
      </c>
      <c r="J16" s="126">
        <v>5905.7788774703049</v>
      </c>
      <c r="K16" s="126">
        <v>5258.9804098591985</v>
      </c>
      <c r="L16" s="127">
        <v>4231.1412600708954</v>
      </c>
      <c r="M16" s="127">
        <v>3956.1263103900001</v>
      </c>
      <c r="N16" s="127">
        <v>4084.2765329559002</v>
      </c>
      <c r="O16" s="626">
        <v>4296.8104656853375</v>
      </c>
    </row>
    <row r="17" spans="1:15" x14ac:dyDescent="0.3">
      <c r="A17" s="129" t="s">
        <v>184</v>
      </c>
      <c r="B17" s="125">
        <v>504.40436034990017</v>
      </c>
      <c r="C17" s="125">
        <v>1115.0072405962185</v>
      </c>
      <c r="D17" s="126">
        <v>2150.1879796001963</v>
      </c>
      <c r="E17" s="353">
        <v>3328.5293641435719</v>
      </c>
      <c r="F17" s="126">
        <v>3941.4867736854071</v>
      </c>
      <c r="G17" s="126">
        <v>3907.2260694468628</v>
      </c>
      <c r="H17" s="126">
        <v>4434.0073483586384</v>
      </c>
      <c r="I17" s="126">
        <v>4950.2020207958458</v>
      </c>
      <c r="J17" s="126">
        <v>5644.397789058351</v>
      </c>
      <c r="K17" s="126">
        <v>4761.8459451622393</v>
      </c>
      <c r="L17" s="127">
        <v>3668.3641801662952</v>
      </c>
      <c r="M17" s="127">
        <v>3435.4320508700002</v>
      </c>
      <c r="N17" s="127">
        <v>3516.79335631</v>
      </c>
      <c r="O17" s="626">
        <v>3825.8770601464698</v>
      </c>
    </row>
    <row r="18" spans="1:15" x14ac:dyDescent="0.3">
      <c r="A18" s="129" t="s">
        <v>185</v>
      </c>
      <c r="B18" s="125">
        <v>3.6930000000000001</v>
      </c>
      <c r="C18" s="125">
        <v>122.04899999999999</v>
      </c>
      <c r="D18" s="126">
        <v>44.835999999999999</v>
      </c>
      <c r="E18" s="353">
        <v>3.9140000000000001</v>
      </c>
      <c r="F18" s="126">
        <v>108.91914556</v>
      </c>
      <c r="G18" s="126">
        <v>16.388999999999999</v>
      </c>
      <c r="H18" s="126">
        <v>0</v>
      </c>
      <c r="I18" s="126">
        <v>0</v>
      </c>
      <c r="J18" s="126">
        <v>0</v>
      </c>
      <c r="K18" s="126">
        <v>254.07279</v>
      </c>
      <c r="L18" s="356">
        <f>+K18/K$16*L$16</f>
        <v>204.41564353709202</v>
      </c>
      <c r="M18" s="356">
        <f>+L18/L$16*M$16</f>
        <v>191.12907273600294</v>
      </c>
      <c r="N18" s="356">
        <f>+M18/M$16*N$16</f>
        <v>197.32028891269732</v>
      </c>
      <c r="O18" s="356">
        <f>+N18/N$16*O$16</f>
        <v>207.58826579220926</v>
      </c>
    </row>
    <row r="19" spans="1:15" x14ac:dyDescent="0.3">
      <c r="A19" s="131" t="s">
        <v>179</v>
      </c>
      <c r="B19" s="125">
        <v>3.6930000000000001</v>
      </c>
      <c r="C19" s="125">
        <v>38.912999999999997</v>
      </c>
      <c r="D19" s="126">
        <v>0</v>
      </c>
      <c r="E19" s="353">
        <v>3.9140000000000001</v>
      </c>
      <c r="F19" s="126">
        <v>0</v>
      </c>
      <c r="G19" s="126">
        <v>16.388999999999999</v>
      </c>
      <c r="H19" s="126">
        <v>0</v>
      </c>
      <c r="I19" s="126">
        <v>0</v>
      </c>
      <c r="J19" s="126">
        <v>0</v>
      </c>
      <c r="K19" s="126">
        <v>0</v>
      </c>
      <c r="L19" s="353">
        <v>0</v>
      </c>
      <c r="M19" s="353">
        <v>0</v>
      </c>
      <c r="N19" s="353">
        <v>0</v>
      </c>
      <c r="O19" s="353">
        <v>0</v>
      </c>
    </row>
    <row r="20" spans="1:15" x14ac:dyDescent="0.3">
      <c r="A20" s="131" t="s">
        <v>181</v>
      </c>
      <c r="B20" s="132">
        <v>0</v>
      </c>
      <c r="C20" s="133">
        <v>83.135999999999996</v>
      </c>
      <c r="D20" s="134">
        <v>44.835999999999999</v>
      </c>
      <c r="E20" s="354">
        <v>0</v>
      </c>
      <c r="F20" s="134">
        <v>108.91914556</v>
      </c>
      <c r="G20" s="135">
        <v>0</v>
      </c>
      <c r="H20" s="126">
        <v>0</v>
      </c>
      <c r="I20" s="126">
        <v>0</v>
      </c>
      <c r="J20" s="126">
        <v>0</v>
      </c>
      <c r="K20" s="134">
        <v>254.07279</v>
      </c>
      <c r="L20" s="356">
        <f>+K20/K$16*L$16</f>
        <v>204.41564353709202</v>
      </c>
      <c r="M20" s="356">
        <f>+L20/L$16*M$16</f>
        <v>191.12907273600294</v>
      </c>
      <c r="N20" s="356">
        <f>+M20/M$16*N$16</f>
        <v>197.32028891269732</v>
      </c>
      <c r="O20" s="356">
        <f>+N20/N$16*O$16</f>
        <v>207.58826579220926</v>
      </c>
    </row>
    <row r="21" spans="1:15" x14ac:dyDescent="0.3">
      <c r="A21" s="129" t="s">
        <v>186</v>
      </c>
      <c r="B21" s="125">
        <v>14.585000000000001</v>
      </c>
      <c r="C21" s="125">
        <v>200.44599974796927</v>
      </c>
      <c r="D21" s="126">
        <v>349.40499999882127</v>
      </c>
      <c r="E21" s="353">
        <v>995.39799974523623</v>
      </c>
      <c r="F21" s="127">
        <v>966.54883874941845</v>
      </c>
      <c r="G21" s="130">
        <v>1111.1694571570658</v>
      </c>
      <c r="H21" s="127">
        <v>1347.1755310883377</v>
      </c>
      <c r="I21" s="127">
        <v>658.68117624840932</v>
      </c>
      <c r="J21" s="127">
        <v>247.73708841195375</v>
      </c>
      <c r="K21" s="126">
        <v>229.41767469695893</v>
      </c>
      <c r="L21" s="356">
        <f>+L16-L17-L20</f>
        <v>358.36143636750819</v>
      </c>
      <c r="M21" s="356">
        <f>+M16-M17-M20</f>
        <v>329.56518678399686</v>
      </c>
      <c r="N21" s="356">
        <f>+N16-N17-N20</f>
        <v>370.16288773320281</v>
      </c>
      <c r="O21" s="356">
        <f>+O16-O17-O20</f>
        <v>263.34513974665839</v>
      </c>
    </row>
    <row r="22" spans="1:15" x14ac:dyDescent="0.3">
      <c r="A22" s="124" t="s">
        <v>187</v>
      </c>
      <c r="B22" s="133">
        <v>1034.9835</v>
      </c>
      <c r="C22" s="133">
        <v>1998.0044999999998</v>
      </c>
      <c r="D22" s="134">
        <v>2887.9570000000003</v>
      </c>
      <c r="E22" s="355">
        <v>3568.8040000000001</v>
      </c>
      <c r="F22" s="134">
        <v>4046.0600012965497</v>
      </c>
      <c r="G22" s="134">
        <v>3442.6790000000001</v>
      </c>
      <c r="H22" s="134">
        <v>2792.0024301347066</v>
      </c>
      <c r="I22" s="134">
        <v>3118.7829269999997</v>
      </c>
      <c r="J22" s="134">
        <v>3670.0755990643997</v>
      </c>
      <c r="K22" s="134">
        <v>4076.8049847413909</v>
      </c>
      <c r="L22" s="127">
        <v>4060.06927881</v>
      </c>
      <c r="M22" s="127">
        <v>3953.0343843195824</v>
      </c>
      <c r="N22" s="127">
        <v>4190.7724699999999</v>
      </c>
      <c r="O22" s="626">
        <v>4411.3356337950227</v>
      </c>
    </row>
    <row r="23" spans="1:15" x14ac:dyDescent="0.3">
      <c r="A23" s="128" t="s">
        <v>188</v>
      </c>
      <c r="B23" s="125">
        <v>86.081000000000003</v>
      </c>
      <c r="C23" s="125">
        <v>90.512</v>
      </c>
      <c r="D23" s="126">
        <v>60.906999999999996</v>
      </c>
      <c r="E23" s="353">
        <v>106.718</v>
      </c>
      <c r="F23" s="127">
        <v>114.98100129655015</v>
      </c>
      <c r="G23" s="130">
        <v>218.21899999999999</v>
      </c>
      <c r="H23" s="130">
        <v>115.92393013470651</v>
      </c>
      <c r="I23" s="130">
        <v>175.79692700000004</v>
      </c>
      <c r="J23" s="130">
        <v>237.86999906439999</v>
      </c>
      <c r="K23" s="126">
        <v>542.72833474139077</v>
      </c>
      <c r="L23" s="127">
        <v>466.10934081000005</v>
      </c>
      <c r="M23" s="127">
        <v>484.50183431958271</v>
      </c>
      <c r="N23" s="127">
        <v>468.52593999999999</v>
      </c>
      <c r="O23" s="626">
        <v>490.30674379502238</v>
      </c>
    </row>
    <row r="24" spans="1:15" x14ac:dyDescent="0.3">
      <c r="A24" s="128" t="s">
        <v>189</v>
      </c>
      <c r="B24" s="136">
        <v>948.90250000000003</v>
      </c>
      <c r="C24" s="136">
        <v>1907.4924999999998</v>
      </c>
      <c r="D24" s="127">
        <v>2827.05</v>
      </c>
      <c r="E24" s="356">
        <v>3462.0860000000002</v>
      </c>
      <c r="F24" s="127">
        <v>3931.0789999999997</v>
      </c>
      <c r="G24" s="137">
        <v>3224.46</v>
      </c>
      <c r="H24" s="137">
        <v>2676.0785000000001</v>
      </c>
      <c r="I24" s="137">
        <v>2942.9859999999999</v>
      </c>
      <c r="J24" s="137">
        <v>3432.2055999999998</v>
      </c>
      <c r="K24" s="137">
        <v>3534.07665</v>
      </c>
      <c r="L24" s="127">
        <v>3593.959938</v>
      </c>
      <c r="M24" s="127">
        <v>3468.5325499999999</v>
      </c>
      <c r="N24" s="127">
        <v>3722.2465299999999</v>
      </c>
      <c r="O24" s="626">
        <v>3921.02889</v>
      </c>
    </row>
    <row r="25" spans="1:15" x14ac:dyDescent="0.3">
      <c r="A25" s="138"/>
      <c r="B25" s="139"/>
      <c r="C25" s="139"/>
      <c r="D25" s="139"/>
      <c r="E25" s="139"/>
      <c r="F25" s="139"/>
      <c r="G25" s="140"/>
      <c r="H25" s="140"/>
      <c r="I25" s="140"/>
      <c r="J25" s="140"/>
      <c r="K25" s="140"/>
    </row>
    <row r="26" spans="1:15" x14ac:dyDescent="0.3">
      <c r="A26" s="141" t="s">
        <v>190</v>
      </c>
      <c r="B26" s="143"/>
      <c r="C26" s="144"/>
      <c r="D26" s="142"/>
      <c r="E26" s="142"/>
      <c r="F26" s="142"/>
      <c r="G26" s="142"/>
      <c r="H26" s="142"/>
      <c r="I26" s="145"/>
      <c r="J26" s="145"/>
      <c r="K26" s="145"/>
    </row>
    <row r="34" spans="1:14" x14ac:dyDescent="0.3">
      <c r="A34" s="598" t="s">
        <v>624</v>
      </c>
      <c r="B34" s="599"/>
      <c r="C34" s="599"/>
      <c r="D34" s="600"/>
      <c r="E34" s="601"/>
      <c r="F34" s="601"/>
      <c r="G34" s="602"/>
      <c r="H34" s="603"/>
      <c r="I34" s="603"/>
      <c r="J34" s="603"/>
      <c r="K34" s="603"/>
      <c r="L34" s="604"/>
      <c r="M34" s="605"/>
      <c r="N34" s="605"/>
    </row>
    <row r="35" spans="1:14" x14ac:dyDescent="0.3">
      <c r="A35" s="606" t="s">
        <v>625</v>
      </c>
      <c r="B35" s="606"/>
      <c r="C35" s="606"/>
      <c r="D35" s="602"/>
      <c r="E35" s="601"/>
      <c r="F35" s="601"/>
      <c r="G35" s="602"/>
      <c r="H35" s="603"/>
      <c r="I35" s="603"/>
      <c r="J35" s="603"/>
      <c r="K35" s="603"/>
      <c r="L35" s="604"/>
      <c r="M35" s="605"/>
      <c r="N35" s="605"/>
    </row>
    <row r="36" spans="1:14" ht="13.5" thickBot="1" x14ac:dyDescent="0.35">
      <c r="A36" s="607"/>
      <c r="B36" s="607"/>
      <c r="C36" s="607"/>
      <c r="D36" s="608"/>
      <c r="E36" s="609"/>
      <c r="F36" s="609"/>
      <c r="G36" s="608"/>
      <c r="H36" s="609"/>
      <c r="I36" s="609"/>
      <c r="J36" s="609"/>
      <c r="K36" s="609"/>
      <c r="L36" s="607"/>
      <c r="M36" s="607"/>
      <c r="N36" s="607"/>
    </row>
    <row r="37" spans="1:14" x14ac:dyDescent="0.3">
      <c r="A37" s="610"/>
      <c r="B37" s="610"/>
      <c r="C37" s="610"/>
      <c r="D37" s="611"/>
      <c r="E37" s="611"/>
      <c r="F37" s="611"/>
      <c r="G37" s="611"/>
      <c r="H37" s="611"/>
      <c r="I37" s="611"/>
      <c r="J37" s="611"/>
      <c r="K37" s="611"/>
      <c r="L37" s="610"/>
      <c r="M37" s="610"/>
      <c r="N37" s="612"/>
    </row>
    <row r="38" spans="1:14" x14ac:dyDescent="0.3">
      <c r="A38" s="610"/>
      <c r="B38" s="610"/>
      <c r="C38" s="610"/>
      <c r="D38" s="601" t="s">
        <v>23</v>
      </c>
      <c r="E38" s="606"/>
      <c r="F38" s="613"/>
      <c r="G38" s="613"/>
      <c r="H38" s="613"/>
      <c r="I38" s="613"/>
      <c r="J38" s="613"/>
      <c r="K38" s="613"/>
      <c r="L38" s="613"/>
      <c r="M38" s="613"/>
      <c r="N38" s="612"/>
    </row>
    <row r="39" spans="1:14" x14ac:dyDescent="0.3">
      <c r="A39" s="610"/>
      <c r="B39" s="610"/>
      <c r="C39" s="610"/>
      <c r="D39" s="614"/>
      <c r="E39" s="614"/>
      <c r="F39" s="615"/>
      <c r="G39" s="615"/>
      <c r="H39" s="615"/>
      <c r="I39" s="615"/>
      <c r="J39" s="615"/>
      <c r="K39" s="615"/>
      <c r="L39" s="615"/>
      <c r="M39" s="615"/>
      <c r="N39" s="612"/>
    </row>
    <row r="40" spans="1:14" x14ac:dyDescent="0.3">
      <c r="A40" s="610"/>
      <c r="B40" s="610"/>
      <c r="C40" s="610"/>
      <c r="D40" s="611"/>
      <c r="E40" s="610"/>
      <c r="F40" s="616"/>
      <c r="G40" s="616"/>
      <c r="H40" s="616"/>
      <c r="I40" s="616"/>
      <c r="J40" s="616"/>
      <c r="K40" s="616"/>
      <c r="L40" s="616"/>
      <c r="M40" s="616"/>
      <c r="N40" s="612"/>
    </row>
    <row r="41" spans="1:14" x14ac:dyDescent="0.3">
      <c r="A41" s="610"/>
      <c r="B41" s="610"/>
      <c r="C41" s="610"/>
      <c r="D41" s="617" t="s">
        <v>584</v>
      </c>
      <c r="E41" s="617" t="s">
        <v>254</v>
      </c>
      <c r="F41" s="617" t="s">
        <v>626</v>
      </c>
      <c r="G41" s="617" t="s">
        <v>627</v>
      </c>
      <c r="H41" s="617" t="s">
        <v>592</v>
      </c>
      <c r="I41" s="617" t="s">
        <v>593</v>
      </c>
      <c r="J41" s="618" t="s">
        <v>585</v>
      </c>
      <c r="K41" s="618" t="s">
        <v>601</v>
      </c>
      <c r="L41" s="618" t="s">
        <v>586</v>
      </c>
      <c r="M41" s="618" t="s">
        <v>602</v>
      </c>
      <c r="N41" s="733">
        <v>2004</v>
      </c>
    </row>
    <row r="42" spans="1:14" x14ac:dyDescent="0.3">
      <c r="A42" s="619"/>
      <c r="B42" s="619"/>
      <c r="C42" s="619"/>
      <c r="D42" s="614"/>
      <c r="E42" s="619"/>
      <c r="F42" s="615"/>
      <c r="G42" s="615"/>
      <c r="H42" s="615"/>
      <c r="I42" s="615"/>
      <c r="J42" s="620"/>
      <c r="K42" s="621" t="s">
        <v>628</v>
      </c>
      <c r="L42" s="621" t="s">
        <v>628</v>
      </c>
      <c r="M42" s="621" t="s">
        <v>628</v>
      </c>
      <c r="N42" s="615"/>
    </row>
    <row r="43" spans="1:14" x14ac:dyDescent="0.3">
      <c r="A43" s="622"/>
      <c r="B43" s="622"/>
      <c r="C43" s="622"/>
      <c r="D43" s="622"/>
      <c r="E43" s="622"/>
      <c r="F43" s="622"/>
      <c r="G43" s="622"/>
      <c r="H43" s="622"/>
      <c r="I43" s="622"/>
      <c r="J43" s="622"/>
      <c r="K43" s="622"/>
      <c r="L43" s="622"/>
      <c r="M43" s="622"/>
      <c r="N43" s="612"/>
    </row>
    <row r="44" spans="1:14" x14ac:dyDescent="0.3">
      <c r="A44" s="623" t="s">
        <v>629</v>
      </c>
      <c r="B44" s="623"/>
      <c r="C44" s="623"/>
      <c r="D44" s="624">
        <v>14362.381688105415</v>
      </c>
      <c r="E44" s="624">
        <v>18782.017225666466</v>
      </c>
      <c r="F44" s="624">
        <v>20797.583407448317</v>
      </c>
      <c r="G44" s="624">
        <v>23792.656933346265</v>
      </c>
      <c r="H44" s="624">
        <v>25484.866790934626</v>
      </c>
      <c r="I44" s="624">
        <v>27835.481312230917</v>
      </c>
      <c r="J44" s="624">
        <v>29360.199152196205</v>
      </c>
      <c r="K44" s="624">
        <v>28580.017619167033</v>
      </c>
      <c r="L44" s="624">
        <v>29240.743451722337</v>
      </c>
      <c r="M44" s="624">
        <v>31459.54995875125</v>
      </c>
      <c r="N44" s="624">
        <v>34166.495071996709</v>
      </c>
    </row>
    <row r="45" spans="1:14" x14ac:dyDescent="0.3">
      <c r="A45" s="623" t="s">
        <v>630</v>
      </c>
      <c r="B45" s="623"/>
      <c r="C45" s="623"/>
      <c r="D45" s="624">
        <v>10020.896324216606</v>
      </c>
      <c r="E45" s="624">
        <v>13751.41846767164</v>
      </c>
      <c r="F45" s="624">
        <v>15749.154880844388</v>
      </c>
      <c r="G45" s="624">
        <v>17997.830053899288</v>
      </c>
      <c r="H45" s="624">
        <v>19862.33959389037</v>
      </c>
      <c r="I45" s="624">
        <v>21929.702434760613</v>
      </c>
      <c r="J45" s="624">
        <v>24101.218742337005</v>
      </c>
      <c r="K45" s="624">
        <v>24348.876359096139</v>
      </c>
      <c r="L45" s="624">
        <v>25284.617141332339</v>
      </c>
      <c r="M45" s="624">
        <v>27375.273425795349</v>
      </c>
      <c r="N45" s="626">
        <v>29869.684606311373</v>
      </c>
    </row>
    <row r="46" spans="1:14" x14ac:dyDescent="0.3">
      <c r="A46" s="625" t="s">
        <v>631</v>
      </c>
      <c r="B46" s="625"/>
      <c r="C46" s="625"/>
      <c r="D46" s="626">
        <v>3865.595000181685</v>
      </c>
      <c r="E46" s="626">
        <v>5098.0185870848572</v>
      </c>
      <c r="F46" s="626">
        <v>5433.2501607780441</v>
      </c>
      <c r="G46" s="626">
        <v>6397.2623092932781</v>
      </c>
      <c r="H46" s="626">
        <v>6978.5710299721568</v>
      </c>
      <c r="I46" s="626">
        <v>7782.2689901144004</v>
      </c>
      <c r="J46" s="626">
        <v>8190.0534471784904</v>
      </c>
      <c r="K46" s="626">
        <v>8227.6145087706627</v>
      </c>
      <c r="L46" s="626">
        <v>8922.3723054999991</v>
      </c>
      <c r="M46" s="626">
        <v>9671.0082885299998</v>
      </c>
      <c r="N46" s="626">
        <v>10510.087685786024</v>
      </c>
    </row>
    <row r="47" spans="1:14" x14ac:dyDescent="0.3">
      <c r="A47" s="625" t="s">
        <v>632</v>
      </c>
      <c r="B47" s="625"/>
      <c r="C47" s="625"/>
      <c r="D47" s="626">
        <v>2570.0935384277441</v>
      </c>
      <c r="E47" s="626">
        <v>4027.024867604538</v>
      </c>
      <c r="F47" s="626">
        <v>5142.8464531888767</v>
      </c>
      <c r="G47" s="626">
        <v>5281.9344687958719</v>
      </c>
      <c r="H47" s="626">
        <v>6011.0565339919804</v>
      </c>
      <c r="I47" s="626">
        <v>6191.5762780011701</v>
      </c>
      <c r="J47" s="626">
        <v>7161.4414030001108</v>
      </c>
      <c r="K47" s="626">
        <v>7424.1635987738746</v>
      </c>
      <c r="L47" s="626">
        <v>6872.5592142164251</v>
      </c>
      <c r="M47" s="626">
        <v>7344.5560309583643</v>
      </c>
      <c r="N47" s="626">
        <v>8228.588029378905</v>
      </c>
    </row>
    <row r="48" spans="1:14" x14ac:dyDescent="0.3">
      <c r="A48" s="625" t="s">
        <v>633</v>
      </c>
      <c r="B48" s="625"/>
      <c r="C48" s="625"/>
      <c r="D48" s="626">
        <v>3585.2077856071764</v>
      </c>
      <c r="E48" s="626">
        <v>4626.3750129822438</v>
      </c>
      <c r="F48" s="626">
        <v>5173.0582668774659</v>
      </c>
      <c r="G48" s="626">
        <v>6318.6332758101389</v>
      </c>
      <c r="H48" s="626">
        <v>6872.7120299262351</v>
      </c>
      <c r="I48" s="626">
        <v>7955.8571666450407</v>
      </c>
      <c r="J48" s="626">
        <v>8749.7238921584049</v>
      </c>
      <c r="K48" s="626">
        <v>8697.0982515516007</v>
      </c>
      <c r="L48" s="626">
        <v>9489.685621615914</v>
      </c>
      <c r="M48" s="626">
        <v>10359.709106306984</v>
      </c>
      <c r="N48" s="626">
        <v>11131.008891146445</v>
      </c>
    </row>
    <row r="49" spans="1:14" x14ac:dyDescent="0.3">
      <c r="A49" s="633" t="s">
        <v>634</v>
      </c>
      <c r="B49" s="625"/>
      <c r="C49" s="625"/>
      <c r="D49" s="626">
        <v>1612.7780000328346</v>
      </c>
      <c r="E49" s="626">
        <v>2128.4165951744808</v>
      </c>
      <c r="F49" s="626">
        <v>2239.380084332925</v>
      </c>
      <c r="G49" s="626">
        <v>2634.0425404254702</v>
      </c>
      <c r="H49" s="626">
        <v>2894.3277579994665</v>
      </c>
      <c r="I49" s="626">
        <v>3280.5491587489691</v>
      </c>
      <c r="J49" s="626">
        <v>3417.5909330739337</v>
      </c>
      <c r="K49" s="626">
        <v>3397.062125070308</v>
      </c>
      <c r="L49" s="626">
        <v>3562.1404528930511</v>
      </c>
      <c r="M49" s="626">
        <v>3664.0790870599985</v>
      </c>
      <c r="N49" s="626">
        <v>3714.9280981899992</v>
      </c>
    </row>
    <row r="50" spans="1:14" x14ac:dyDescent="0.3">
      <c r="A50" s="633" t="s">
        <v>635</v>
      </c>
      <c r="B50" s="625"/>
      <c r="C50" s="625"/>
      <c r="D50" s="626">
        <v>0</v>
      </c>
      <c r="E50" s="626">
        <v>167.70500000000001</v>
      </c>
      <c r="F50" s="626">
        <v>238.77799999999999</v>
      </c>
      <c r="G50" s="626">
        <v>388.16199999999998</v>
      </c>
      <c r="H50" s="626">
        <v>601.07314699999995</v>
      </c>
      <c r="I50" s="626">
        <v>1015.403973</v>
      </c>
      <c r="J50" s="626">
        <v>1278.947973</v>
      </c>
      <c r="K50" s="626">
        <v>1496.6391148296921</v>
      </c>
      <c r="L50" s="626">
        <v>1991.5429612969479</v>
      </c>
      <c r="M50" s="626">
        <v>2171.3368867099998</v>
      </c>
      <c r="N50" s="626">
        <v>2473.1421545599997</v>
      </c>
    </row>
    <row r="51" spans="1:14" x14ac:dyDescent="0.3">
      <c r="A51" s="633" t="s">
        <v>636</v>
      </c>
      <c r="B51" s="625"/>
      <c r="C51" s="625"/>
      <c r="D51" s="626">
        <v>631.00299999999993</v>
      </c>
      <c r="E51" s="626">
        <v>872.38479999999993</v>
      </c>
      <c r="F51" s="626">
        <v>1029.7926</v>
      </c>
      <c r="G51" s="626">
        <v>1225.8428159999999</v>
      </c>
      <c r="H51" s="626">
        <v>1294.85529103</v>
      </c>
      <c r="I51" s="626">
        <v>1267.741628</v>
      </c>
      <c r="J51" s="626">
        <v>1423.4031910000001</v>
      </c>
      <c r="K51" s="626">
        <v>1386.761816</v>
      </c>
      <c r="L51" s="626">
        <v>1449.7528650000002</v>
      </c>
      <c r="M51" s="626">
        <v>1612.4238410000003</v>
      </c>
      <c r="N51" s="626">
        <v>1792.9928089166665</v>
      </c>
    </row>
    <row r="52" spans="1:14" x14ac:dyDescent="0.3">
      <c r="A52" s="633" t="s">
        <v>637</v>
      </c>
      <c r="B52" s="625"/>
      <c r="C52" s="612"/>
      <c r="D52" s="626">
        <v>64.01464</v>
      </c>
      <c r="E52" s="626">
        <v>69.825820000000007</v>
      </c>
      <c r="F52" s="626">
        <v>97.924800658917349</v>
      </c>
      <c r="G52" s="626">
        <v>205.45100322000002</v>
      </c>
      <c r="H52" s="626">
        <v>236.31322062999999</v>
      </c>
      <c r="I52" s="626">
        <v>179.02057899999997</v>
      </c>
      <c r="J52" s="626">
        <v>220.52228512320002</v>
      </c>
      <c r="K52" s="626">
        <v>217.85308782600001</v>
      </c>
      <c r="L52" s="626">
        <v>298.12376180400008</v>
      </c>
      <c r="M52" s="626">
        <v>515.65028575000008</v>
      </c>
      <c r="N52" s="626">
        <v>234.02552948299996</v>
      </c>
    </row>
    <row r="53" spans="1:14" x14ac:dyDescent="0.3">
      <c r="A53" s="633" t="s">
        <v>638</v>
      </c>
      <c r="B53" s="625"/>
      <c r="C53" s="625"/>
      <c r="D53" s="626">
        <v>1277.4121455743418</v>
      </c>
      <c r="E53" s="626">
        <v>1388.0427978077632</v>
      </c>
      <c r="F53" s="626">
        <v>1567.1827818856239</v>
      </c>
      <c r="G53" s="626">
        <v>1865.134916164669</v>
      </c>
      <c r="H53" s="626">
        <v>1846.1426132667686</v>
      </c>
      <c r="I53" s="626">
        <v>2213.1418278960718</v>
      </c>
      <c r="J53" s="626">
        <v>2409.2595099612699</v>
      </c>
      <c r="K53" s="626">
        <v>2198.7821078256011</v>
      </c>
      <c r="L53" s="626">
        <v>2188.1255806219156</v>
      </c>
      <c r="M53" s="626">
        <v>2396.2190057869852</v>
      </c>
      <c r="N53" s="626">
        <v>2915.9202999967792</v>
      </c>
    </row>
    <row r="54" spans="1:14" x14ac:dyDescent="0.3">
      <c r="A54" s="627"/>
      <c r="B54" s="625"/>
      <c r="C54" s="625"/>
      <c r="D54" s="626"/>
      <c r="E54" s="625"/>
      <c r="F54" s="625"/>
      <c r="G54" s="625"/>
      <c r="H54" s="625"/>
      <c r="I54" s="625"/>
      <c r="J54" s="623"/>
      <c r="K54" s="623"/>
      <c r="L54" s="623"/>
      <c r="M54" s="623"/>
      <c r="N54" s="612"/>
    </row>
    <row r="55" spans="1:14" x14ac:dyDescent="0.3">
      <c r="A55" s="623" t="s">
        <v>639</v>
      </c>
      <c r="B55" s="623"/>
      <c r="C55" s="623"/>
      <c r="D55" s="624">
        <v>4341.485363888808</v>
      </c>
      <c r="E55" s="624">
        <v>5030.5987579948251</v>
      </c>
      <c r="F55" s="624">
        <v>5048.4285266039287</v>
      </c>
      <c r="G55" s="624">
        <v>5794.8268794469759</v>
      </c>
      <c r="H55" s="624">
        <v>5622.5271970442554</v>
      </c>
      <c r="I55" s="624">
        <v>5905.7788774703049</v>
      </c>
      <c r="J55" s="624">
        <v>5258.9804098591985</v>
      </c>
      <c r="K55" s="624">
        <v>4231.1412600708954</v>
      </c>
      <c r="L55" s="624">
        <v>3956.1263103900001</v>
      </c>
      <c r="M55" s="624">
        <v>4084.2765329559002</v>
      </c>
      <c r="N55" s="624">
        <v>4296.8104656853375</v>
      </c>
    </row>
    <row r="56" spans="1:14" x14ac:dyDescent="0.3">
      <c r="A56" s="634" t="s">
        <v>640</v>
      </c>
      <c r="B56" s="625"/>
      <c r="C56" s="625"/>
      <c r="D56" s="626">
        <v>3328.5293641435719</v>
      </c>
      <c r="E56" s="626">
        <v>3941.4867736854071</v>
      </c>
      <c r="F56" s="626">
        <v>3907.2260694468628</v>
      </c>
      <c r="G56" s="626">
        <v>4434.0073483586384</v>
      </c>
      <c r="H56" s="626">
        <v>4950.2020207958458</v>
      </c>
      <c r="I56" s="626">
        <v>5644.397789058351</v>
      </c>
      <c r="J56" s="626">
        <v>4761.8459451622393</v>
      </c>
      <c r="K56" s="626">
        <v>3668.3641801662952</v>
      </c>
      <c r="L56" s="626">
        <v>3435.4320508700002</v>
      </c>
      <c r="M56" s="626">
        <v>3516.79335631</v>
      </c>
      <c r="N56" s="626">
        <v>3825.8770601464698</v>
      </c>
    </row>
    <row r="57" spans="1:14" x14ac:dyDescent="0.3">
      <c r="A57" s="634" t="s">
        <v>641</v>
      </c>
      <c r="B57" s="625"/>
      <c r="C57" s="625"/>
      <c r="D57" s="626">
        <v>1012.9559997452362</v>
      </c>
      <c r="E57" s="626">
        <v>1089.1119843094184</v>
      </c>
      <c r="F57" s="626">
        <v>1141.2024571570657</v>
      </c>
      <c r="G57" s="626">
        <v>1360.8195310883377</v>
      </c>
      <c r="H57" s="626">
        <v>672.32517624840932</v>
      </c>
      <c r="I57" s="626">
        <v>261.38108841195373</v>
      </c>
      <c r="J57" s="626">
        <v>497.13446469695896</v>
      </c>
      <c r="K57" s="626">
        <v>562.77707990460021</v>
      </c>
      <c r="L57" s="626">
        <v>520.69425952000006</v>
      </c>
      <c r="M57" s="626">
        <v>567.48317664590013</v>
      </c>
      <c r="N57" s="626">
        <v>470.93340553886662</v>
      </c>
    </row>
    <row r="58" spans="1:14" x14ac:dyDescent="0.3">
      <c r="A58" s="612"/>
      <c r="B58" s="612"/>
      <c r="C58" s="612"/>
      <c r="D58" s="612"/>
      <c r="E58" s="612"/>
      <c r="F58" s="612"/>
      <c r="G58" s="612"/>
      <c r="H58" s="612"/>
      <c r="I58" s="612"/>
      <c r="J58" s="612"/>
      <c r="K58" s="612"/>
      <c r="L58" s="612"/>
      <c r="M58" s="612"/>
      <c r="N58" s="626"/>
    </row>
    <row r="59" spans="1:14" x14ac:dyDescent="0.3">
      <c r="A59" s="623" t="s">
        <v>642</v>
      </c>
      <c r="B59" s="625"/>
      <c r="C59" s="625"/>
      <c r="D59" s="624">
        <v>3568.8040000000001</v>
      </c>
      <c r="E59" s="624">
        <v>4046.0600012965497</v>
      </c>
      <c r="F59" s="624">
        <v>3442.6790000000001</v>
      </c>
      <c r="G59" s="624">
        <v>2792.0024301347066</v>
      </c>
      <c r="H59" s="624">
        <v>3118.7829269999997</v>
      </c>
      <c r="I59" s="624">
        <v>3670.0755990643997</v>
      </c>
      <c r="J59" s="624">
        <v>4076.8049847413909</v>
      </c>
      <c r="K59" s="624">
        <v>4060.06927881</v>
      </c>
      <c r="L59" s="624">
        <v>3953.0343843195824</v>
      </c>
      <c r="M59" s="624">
        <v>4190.7724699999999</v>
      </c>
      <c r="N59" s="624">
        <v>4411.3356337950227</v>
      </c>
    </row>
    <row r="60" spans="1:14" x14ac:dyDescent="0.3">
      <c r="A60" s="625" t="s">
        <v>643</v>
      </c>
      <c r="B60" s="625"/>
      <c r="C60" s="625"/>
      <c r="D60" s="626">
        <v>106.718</v>
      </c>
      <c r="E60" s="626">
        <v>114.98100129655015</v>
      </c>
      <c r="F60" s="626">
        <v>218.21899999999999</v>
      </c>
      <c r="G60" s="626">
        <v>115.92393013470651</v>
      </c>
      <c r="H60" s="626">
        <v>175.79692700000004</v>
      </c>
      <c r="I60" s="626">
        <v>237.86999906439999</v>
      </c>
      <c r="J60" s="626">
        <v>542.72833474139077</v>
      </c>
      <c r="K60" s="626">
        <v>466.10934081000005</v>
      </c>
      <c r="L60" s="626">
        <v>484.50183431958271</v>
      </c>
      <c r="M60" s="626">
        <v>468.52593999999999</v>
      </c>
      <c r="N60" s="626">
        <v>490.30674379502238</v>
      </c>
    </row>
    <row r="61" spans="1:14" x14ac:dyDescent="0.3">
      <c r="A61" s="625" t="s">
        <v>644</v>
      </c>
      <c r="B61" s="625"/>
      <c r="C61" s="625"/>
      <c r="D61" s="626">
        <v>3462.0860000000002</v>
      </c>
      <c r="E61" s="626">
        <v>3931.0789999999997</v>
      </c>
      <c r="F61" s="626">
        <v>3224.46</v>
      </c>
      <c r="G61" s="626">
        <v>2676.0785000000001</v>
      </c>
      <c r="H61" s="626">
        <v>2942.9859999999999</v>
      </c>
      <c r="I61" s="626">
        <v>3432.2055999999998</v>
      </c>
      <c r="J61" s="626">
        <v>3534.07665</v>
      </c>
      <c r="K61" s="626">
        <v>3593.959938</v>
      </c>
      <c r="L61" s="626">
        <v>3468.5325499999999</v>
      </c>
      <c r="M61" s="626">
        <v>3722.2465299999999</v>
      </c>
      <c r="N61" s="626">
        <v>3921.02889</v>
      </c>
    </row>
    <row r="62" spans="1:14" x14ac:dyDescent="0.3">
      <c r="A62" s="625"/>
      <c r="B62" s="625"/>
      <c r="C62" s="625"/>
      <c r="D62" s="626"/>
      <c r="E62" s="625"/>
      <c r="F62" s="625"/>
      <c r="G62" s="625"/>
      <c r="H62" s="625"/>
      <c r="I62" s="625"/>
      <c r="J62" s="623"/>
      <c r="K62" s="623"/>
      <c r="L62" s="623"/>
      <c r="M62" s="623"/>
      <c r="N62" s="626"/>
    </row>
    <row r="63" spans="1:14" x14ac:dyDescent="0.3">
      <c r="A63" s="623" t="s">
        <v>645</v>
      </c>
      <c r="B63" s="623"/>
      <c r="C63" s="623"/>
      <c r="D63" s="624">
        <v>17931.185688105415</v>
      </c>
      <c r="E63" s="624">
        <v>22828.077226963018</v>
      </c>
      <c r="F63" s="624">
        <v>24240.262407448317</v>
      </c>
      <c r="G63" s="624">
        <v>26584.659363480972</v>
      </c>
      <c r="H63" s="624">
        <v>28603.649717934626</v>
      </c>
      <c r="I63" s="624">
        <v>31505.556911295316</v>
      </c>
      <c r="J63" s="624">
        <v>33437.004136937598</v>
      </c>
      <c r="K63" s="624">
        <v>32640.086897977031</v>
      </c>
      <c r="L63" s="624">
        <v>33193.777836041918</v>
      </c>
      <c r="M63" s="624">
        <v>35650.322428751249</v>
      </c>
      <c r="N63" s="624">
        <v>38577.830705791734</v>
      </c>
    </row>
    <row r="64" spans="1:14" ht="13.5" thickBot="1" x14ac:dyDescent="0.35">
      <c r="A64" s="628"/>
      <c r="B64" s="628"/>
      <c r="C64" s="628"/>
      <c r="D64" s="628"/>
      <c r="E64" s="628"/>
      <c r="F64" s="628"/>
      <c r="G64" s="628"/>
      <c r="H64" s="629"/>
      <c r="I64" s="629"/>
      <c r="J64" s="629"/>
      <c r="K64" s="629"/>
      <c r="L64" s="628"/>
      <c r="M64" s="628"/>
      <c r="N64" s="628"/>
    </row>
    <row r="65" spans="1:14" x14ac:dyDescent="0.3">
      <c r="A65" s="625"/>
      <c r="B65" s="625"/>
      <c r="C65" s="625"/>
      <c r="D65" s="625"/>
      <c r="E65" s="625"/>
      <c r="F65" s="625"/>
      <c r="G65" s="625"/>
      <c r="H65" s="626"/>
      <c r="I65" s="626"/>
      <c r="J65" s="626"/>
      <c r="K65" s="626"/>
      <c r="L65" s="625"/>
      <c r="M65" s="625"/>
      <c r="N65" s="612"/>
    </row>
    <row r="66" spans="1:14" x14ac:dyDescent="0.3">
      <c r="A66" s="630" t="s">
        <v>616</v>
      </c>
      <c r="B66" s="625"/>
      <c r="C66" s="625"/>
      <c r="D66" s="625"/>
      <c r="E66" s="625"/>
      <c r="F66" s="625"/>
      <c r="G66" s="625"/>
      <c r="H66" s="626"/>
      <c r="I66" s="626"/>
      <c r="J66" s="626"/>
      <c r="K66" s="626"/>
      <c r="L66" s="625"/>
      <c r="M66" s="625"/>
      <c r="N66" s="612"/>
    </row>
    <row r="67" spans="1:14" x14ac:dyDescent="0.3">
      <c r="A67" s="630" t="s">
        <v>12</v>
      </c>
      <c r="B67" s="630"/>
      <c r="C67" s="630"/>
      <c r="D67" s="631"/>
      <c r="E67" s="632"/>
      <c r="F67" s="632"/>
      <c r="G67" s="631"/>
      <c r="H67" s="632"/>
      <c r="I67" s="632"/>
      <c r="J67" s="632"/>
      <c r="K67" s="632"/>
      <c r="L67" s="622"/>
      <c r="M67" s="622"/>
      <c r="N67" s="612"/>
    </row>
    <row r="68" spans="1:14" x14ac:dyDescent="0.3">
      <c r="A68" s="630" t="s">
        <v>13</v>
      </c>
      <c r="B68" s="630"/>
      <c r="C68" s="630"/>
      <c r="D68" s="631"/>
      <c r="E68" s="631"/>
      <c r="F68" s="631"/>
      <c r="G68" s="631"/>
      <c r="H68" s="631"/>
      <c r="I68" s="631"/>
      <c r="J68" s="631"/>
      <c r="K68" s="631"/>
      <c r="L68" s="622"/>
      <c r="M68" s="622"/>
      <c r="N68" s="612"/>
    </row>
    <row r="69" spans="1:14" x14ac:dyDescent="0.3">
      <c r="A69" s="630"/>
      <c r="B69" s="630"/>
      <c r="C69" s="630"/>
      <c r="D69" s="630"/>
      <c r="E69" s="630"/>
      <c r="F69" s="630"/>
      <c r="G69" s="630"/>
      <c r="H69" s="630"/>
      <c r="I69" s="630"/>
      <c r="J69" s="630"/>
      <c r="K69" s="630"/>
      <c r="L69" s="630"/>
      <c r="M69" s="630"/>
      <c r="N69" s="630"/>
    </row>
    <row r="70" spans="1:14" x14ac:dyDescent="0.3">
      <c r="A70" s="630"/>
      <c r="B70" s="630"/>
      <c r="C70" s="630"/>
      <c r="D70" s="630"/>
      <c r="E70" s="630"/>
      <c r="F70" s="630"/>
      <c r="G70" s="630"/>
      <c r="H70" s="630"/>
      <c r="I70" s="630"/>
      <c r="J70" s="630"/>
      <c r="K70" s="630"/>
      <c r="L70" s="630"/>
      <c r="M70" s="630"/>
      <c r="N70" s="630"/>
    </row>
    <row r="71" spans="1:14" x14ac:dyDescent="0.3">
      <c r="A71" s="630"/>
      <c r="B71" s="630"/>
      <c r="C71" s="630"/>
      <c r="D71" s="630"/>
      <c r="E71" s="630"/>
      <c r="F71" s="630"/>
      <c r="G71" s="630"/>
      <c r="H71" s="630"/>
      <c r="I71" s="630"/>
      <c r="J71" s="630"/>
      <c r="K71" s="630"/>
      <c r="L71" s="630"/>
      <c r="M71" s="630"/>
      <c r="N71" s="630"/>
    </row>
    <row r="72" spans="1:14" x14ac:dyDescent="0.3">
      <c r="A72" s="583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</row>
    <row r="73" spans="1:14" x14ac:dyDescent="0.3">
      <c r="A73" s="583"/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</row>
    <row r="74" spans="1:14" x14ac:dyDescent="0.3">
      <c r="A74" s="583"/>
      <c r="B74" s="583"/>
      <c r="C74" s="583"/>
      <c r="D74" s="583"/>
      <c r="E74" s="583"/>
      <c r="F74" s="583"/>
      <c r="G74" s="583"/>
      <c r="H74" s="583"/>
      <c r="I74" s="583"/>
      <c r="J74" s="583"/>
      <c r="K74" s="583"/>
      <c r="L74" s="583"/>
      <c r="M74" s="583"/>
      <c r="N74" s="583"/>
    </row>
  </sheetData>
  <phoneticPr fontId="0" type="noConversion"/>
  <pageMargins left="0.75" right="0.75" top="1" bottom="1" header="0" footer="0"/>
  <pageSetup paperSize="9"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E7608-6B41-4D16-99F7-B5DD689EB02D}">
  <dimension ref="A1:DD6552"/>
  <sheetViews>
    <sheetView tabSelected="1" topLeftCell="A3" zoomScale="50" workbookViewId="0">
      <selection activeCell="G12" sqref="G12"/>
    </sheetView>
  </sheetViews>
  <sheetFormatPr defaultColWidth="12" defaultRowHeight="18" x14ac:dyDescent="0.3"/>
  <cols>
    <col min="1" max="1" width="12" style="348" customWidth="1"/>
    <col min="2" max="2" width="22.88671875" style="348" customWidth="1"/>
    <col min="3" max="3" width="18.44140625" style="348" customWidth="1"/>
    <col min="4" max="4" width="21" style="347" customWidth="1"/>
    <col min="5" max="5" width="14.88671875" style="348" customWidth="1"/>
    <col min="6" max="6" width="28.44140625" style="348" customWidth="1"/>
    <col min="7" max="7" width="28.44140625" style="399" customWidth="1"/>
    <col min="8" max="13" width="25.88671875" style="348" customWidth="1"/>
    <col min="14" max="14" width="22.44140625" style="348" customWidth="1"/>
    <col min="15" max="19" width="39.44140625" style="348" customWidth="1"/>
    <col min="20" max="20" width="36.44140625" style="348" customWidth="1"/>
    <col min="21" max="28" width="22.44140625" style="348" customWidth="1"/>
    <col min="29" max="29" width="39.109375" style="348" customWidth="1"/>
    <col min="30" max="30" width="22.44140625" style="348" customWidth="1"/>
    <col min="31" max="31" width="21.44140625" style="348" customWidth="1"/>
    <col min="32" max="37" width="20.88671875" style="348" customWidth="1"/>
    <col min="38" max="38" width="22.44140625" style="348" customWidth="1"/>
    <col min="39" max="39" width="22.44140625" style="348" bestFit="1" customWidth="1"/>
    <col min="40" max="40" width="20.88671875" style="348" customWidth="1"/>
    <col min="41" max="41" width="20.109375" style="348" bestFit="1" customWidth="1"/>
    <col min="42" max="42" width="20.88671875" style="348" customWidth="1"/>
    <col min="43" max="45" width="22.44140625" style="348" customWidth="1"/>
    <col min="46" max="46" width="24.109375" style="348" customWidth="1"/>
    <col min="47" max="50" width="20.88671875" style="348" customWidth="1"/>
    <col min="51" max="51" width="21.88671875" style="348" bestFit="1" customWidth="1"/>
    <col min="52" max="52" width="20.88671875" style="348" customWidth="1"/>
    <col min="53" max="53" width="22.44140625" style="348" customWidth="1"/>
    <col min="54" max="54" width="20.88671875" style="348" customWidth="1"/>
    <col min="55" max="55" width="21.88671875" style="348" bestFit="1" customWidth="1"/>
    <col min="56" max="56" width="19.88671875" style="348" bestFit="1" customWidth="1"/>
    <col min="57" max="57" width="22.44140625" style="348" bestFit="1" customWidth="1"/>
    <col min="58" max="60" width="22.44140625" style="348" customWidth="1"/>
    <col min="61" max="62" width="23" style="410" customWidth="1"/>
    <col min="63" max="63" width="23" style="348" customWidth="1"/>
    <col min="64" max="64" width="22.33203125" style="348" customWidth="1"/>
    <col min="65" max="65" width="23.6640625" style="348" customWidth="1"/>
    <col min="66" max="67" width="27.88671875" style="348" customWidth="1"/>
    <col min="68" max="68" width="32.109375" style="348" bestFit="1" customWidth="1"/>
    <col min="69" max="69" width="24.88671875" style="348" customWidth="1"/>
    <col min="70" max="70" width="24.6640625" style="348" customWidth="1"/>
    <col min="71" max="71" width="26.109375" style="348" customWidth="1"/>
    <col min="72" max="72" width="20.109375" style="348" customWidth="1"/>
    <col min="73" max="73" width="19" style="348" customWidth="1"/>
    <col min="74" max="75" width="19.44140625" style="348" customWidth="1"/>
    <col min="76" max="76" width="12" style="348" customWidth="1"/>
    <col min="77" max="80" width="16.88671875" style="348" customWidth="1"/>
    <col min="81" max="81" width="18.109375" style="348" customWidth="1"/>
    <col min="82" max="83" width="16.88671875" style="348" customWidth="1"/>
    <col min="84" max="84" width="14.88671875" style="348" customWidth="1"/>
    <col min="85" max="85" width="16.88671875" style="348" customWidth="1"/>
    <col min="86" max="86" width="18.33203125" style="348" bestFit="1" customWidth="1"/>
    <col min="87" max="89" width="18.109375" style="348" customWidth="1"/>
    <col min="90" max="91" width="16.88671875" style="348" customWidth="1"/>
    <col min="92" max="92" width="15" style="348" customWidth="1"/>
    <col min="93" max="93" width="12" style="348" customWidth="1"/>
    <col min="94" max="94" width="20.88671875" style="348" bestFit="1" customWidth="1"/>
    <col min="95" max="95" width="18.109375" style="348" bestFit="1" customWidth="1"/>
    <col min="96" max="96" width="3.88671875" style="348" customWidth="1"/>
    <col min="97" max="97" width="16.88671875" style="348" bestFit="1" customWidth="1"/>
    <col min="98" max="99" width="16.88671875" style="348" customWidth="1"/>
    <col min="100" max="100" width="14.88671875" style="348" customWidth="1"/>
    <col min="101" max="103" width="13.44140625" style="348" customWidth="1"/>
    <col min="104" max="104" width="12.109375" style="348" customWidth="1"/>
    <col min="105" max="105" width="12.6640625" style="348" customWidth="1"/>
    <col min="106" max="106" width="13.44140625" style="348" customWidth="1"/>
    <col min="107" max="107" width="17.44140625" style="348" customWidth="1"/>
    <col min="108" max="108" width="17.33203125" style="348" customWidth="1"/>
    <col min="109" max="109" width="13" style="348" customWidth="1"/>
    <col min="110" max="16384" width="12" style="348"/>
  </cols>
  <sheetData>
    <row r="1" spans="1:72" ht="60" hidden="1" customHeight="1" x14ac:dyDescent="0.3">
      <c r="C1" s="799" t="s">
        <v>578</v>
      </c>
      <c r="D1" s="799"/>
      <c r="E1" s="799"/>
      <c r="F1" s="799"/>
      <c r="G1" s="531"/>
      <c r="H1" s="347"/>
      <c r="I1" s="347"/>
      <c r="J1" s="347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7"/>
      <c r="AD1" s="347"/>
      <c r="AE1" s="367" t="e">
        <f>'[2]Valor agregado'!C2-#REF!</f>
        <v>#REF!</v>
      </c>
      <c r="AF1" s="367" t="e">
        <f>'[2]Valor agregado'!D2-#REF!</f>
        <v>#REF!</v>
      </c>
      <c r="AG1" s="367" t="e">
        <f>'[2]Valor agregado'!E2-#REF!</f>
        <v>#REF!</v>
      </c>
      <c r="AH1" s="367" t="e">
        <f>'[2]Valor agregado'!F2-#REF!</f>
        <v>#REF!</v>
      </c>
      <c r="AI1" s="367" t="e">
        <f>'[2]Valor agregado'!G2-#REF!</f>
        <v>#REF!</v>
      </c>
      <c r="AJ1" s="367" t="e">
        <f>'[2]Valor agregado'!H2-#REF!</f>
        <v>#REF!</v>
      </c>
      <c r="AK1" s="367" t="e">
        <f>'[2]Valor agregado'!I2-#REF!</f>
        <v>#REF!</v>
      </c>
      <c r="AL1" s="367" t="e">
        <f>'[2]Valor agregado'!J2-#REF!</f>
        <v>#REF!</v>
      </c>
      <c r="AM1" s="367" t="e">
        <f>'[2]Valor agregado'!K2-#REF!</f>
        <v>#REF!</v>
      </c>
      <c r="AN1" s="367" t="e">
        <f>'[2]Valor agregado'!L2-#REF!</f>
        <v>#REF!</v>
      </c>
      <c r="AO1" s="367" t="e">
        <f>'[2]Valor agregado'!M2-#REF!</f>
        <v>#REF!</v>
      </c>
      <c r="AP1" s="367" t="e">
        <f>'[2]Valor agregado'!O2-#REF!</f>
        <v>#REF!</v>
      </c>
      <c r="AQ1" s="367" t="e">
        <f>'[2]Valor agregado'!P2-#REF!</f>
        <v>#REF!</v>
      </c>
      <c r="AR1" s="367" t="e">
        <f>'[2]Valor agregado'!Q2-#REF!</f>
        <v>#REF!</v>
      </c>
      <c r="AS1" s="367" t="e">
        <f>'[2]Valor agregado'!#REF!-#REF!</f>
        <v>#REF!</v>
      </c>
      <c r="AT1" s="406"/>
      <c r="AU1" s="406"/>
      <c r="AV1" s="406"/>
      <c r="AW1" s="406"/>
      <c r="AX1" s="406"/>
      <c r="AY1" s="406"/>
      <c r="AZ1" s="406"/>
      <c r="BA1" s="406"/>
      <c r="BB1" s="406"/>
      <c r="BC1" s="406"/>
      <c r="BD1" s="406"/>
      <c r="BE1" s="406"/>
      <c r="BF1" s="406"/>
      <c r="BG1" s="406"/>
      <c r="BH1" s="406"/>
      <c r="BI1" s="406"/>
      <c r="BJ1" s="406"/>
      <c r="BK1" s="406"/>
      <c r="BL1" s="406"/>
      <c r="BM1" s="406"/>
      <c r="BN1" s="347">
        <f>+'SAM macro'!U10</f>
        <v>-11194590514.358139</v>
      </c>
      <c r="BO1" s="347"/>
      <c r="BP1" s="347" t="e">
        <f>SUM(H1:BN1)</f>
        <v>#REF!</v>
      </c>
      <c r="BQ1" s="418"/>
      <c r="BR1" s="418"/>
    </row>
    <row r="2" spans="1:72" hidden="1" x14ac:dyDescent="0.3">
      <c r="D2" s="348"/>
      <c r="AE2" s="348" t="e">
        <f t="shared" ref="AE2:AS2" si="0">+AE1-AE13-AE19</f>
        <v>#REF!</v>
      </c>
      <c r="AF2" s="348" t="e">
        <f t="shared" si="0"/>
        <v>#REF!</v>
      </c>
      <c r="AG2" s="348" t="e">
        <f t="shared" si="0"/>
        <v>#REF!</v>
      </c>
      <c r="AH2" s="348" t="e">
        <f t="shared" si="0"/>
        <v>#REF!</v>
      </c>
      <c r="AI2" s="348" t="e">
        <f t="shared" si="0"/>
        <v>#REF!</v>
      </c>
      <c r="AJ2" s="348" t="e">
        <f t="shared" si="0"/>
        <v>#REF!</v>
      </c>
      <c r="AK2" s="348" t="e">
        <f t="shared" si="0"/>
        <v>#REF!</v>
      </c>
      <c r="AL2" s="348" t="e">
        <f t="shared" si="0"/>
        <v>#REF!</v>
      </c>
      <c r="AM2" s="348" t="e">
        <f t="shared" si="0"/>
        <v>#REF!</v>
      </c>
      <c r="AN2" s="348" t="e">
        <f t="shared" si="0"/>
        <v>#REF!</v>
      </c>
      <c r="AO2" s="348" t="e">
        <f t="shared" si="0"/>
        <v>#REF!</v>
      </c>
      <c r="AP2" s="348" t="e">
        <f t="shared" si="0"/>
        <v>#REF!</v>
      </c>
      <c r="AQ2" s="348" t="e">
        <f t="shared" si="0"/>
        <v>#REF!</v>
      </c>
      <c r="AR2" s="348" t="e">
        <f t="shared" si="0"/>
        <v>#REF!</v>
      </c>
      <c r="AS2" s="348" t="e">
        <f t="shared" si="0"/>
        <v>#REF!</v>
      </c>
    </row>
    <row r="3" spans="1:72" x14ac:dyDescent="0.3">
      <c r="D3" s="348"/>
    </row>
    <row r="4" spans="1:72" s="399" customFormat="1" ht="22.5" customHeight="1" x14ac:dyDescent="0.3">
      <c r="H4" s="800" t="s">
        <v>930</v>
      </c>
      <c r="I4" s="800"/>
      <c r="J4" s="800"/>
      <c r="K4" s="800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  <c r="X4" s="348"/>
      <c r="Y4" s="348"/>
      <c r="Z4" s="348"/>
      <c r="AA4" s="348"/>
      <c r="AB4" s="348"/>
      <c r="AC4" s="348"/>
      <c r="AD4" s="348"/>
      <c r="AE4" s="348"/>
      <c r="AF4" s="348"/>
      <c r="AG4" s="348"/>
      <c r="AH4" s="348"/>
      <c r="AI4" s="348"/>
      <c r="AJ4" s="755"/>
      <c r="AK4" s="348"/>
      <c r="AL4" s="348"/>
      <c r="AM4" s="348"/>
      <c r="AN4" s="348"/>
      <c r="AO4" s="348"/>
      <c r="AP4" s="348"/>
      <c r="AQ4" s="348"/>
      <c r="AR4" s="348"/>
      <c r="AS4" s="348"/>
      <c r="AT4" s="348"/>
      <c r="AU4" s="348"/>
      <c r="AV4" s="348"/>
      <c r="AW4" s="348"/>
      <c r="AX4" s="348"/>
      <c r="AY4" s="348"/>
      <c r="AZ4" s="348"/>
      <c r="BA4" s="348"/>
      <c r="BB4" s="348"/>
      <c r="BC4" s="348"/>
      <c r="BD4" s="348"/>
      <c r="BE4" s="348"/>
      <c r="BF4" s="348"/>
      <c r="BG4" s="348"/>
      <c r="BH4" s="348"/>
      <c r="BI4" s="348"/>
      <c r="BJ4" s="348"/>
      <c r="BK4" s="348"/>
      <c r="BL4" s="348"/>
      <c r="BM4" s="348"/>
      <c r="BN4" s="348"/>
      <c r="BO4" s="348"/>
      <c r="BP4" s="348"/>
    </row>
    <row r="5" spans="1:72" s="399" customFormat="1" ht="21" customHeight="1" x14ac:dyDescent="0.3">
      <c r="H5" s="800" t="s">
        <v>543</v>
      </c>
      <c r="I5" s="800"/>
      <c r="J5" s="800"/>
      <c r="K5" s="800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  <c r="X5" s="348"/>
      <c r="Y5" s="348"/>
      <c r="Z5" s="348"/>
      <c r="AA5" s="348"/>
      <c r="AB5" s="348"/>
      <c r="AC5" s="348"/>
      <c r="AD5" s="348"/>
      <c r="AE5" s="348"/>
      <c r="AF5" s="348"/>
      <c r="AG5" s="348"/>
      <c r="AH5" s="348"/>
      <c r="AI5" s="348"/>
      <c r="AJ5" s="348"/>
      <c r="AK5" s="348"/>
      <c r="AL5" s="348"/>
      <c r="AM5" s="348"/>
      <c r="AN5" s="348"/>
      <c r="AO5" s="348"/>
      <c r="AP5" s="348"/>
      <c r="AQ5" s="348"/>
      <c r="AR5" s="348"/>
      <c r="AS5" s="348"/>
      <c r="AT5" s="348"/>
      <c r="AU5" s="348"/>
      <c r="AV5" s="348"/>
      <c r="AW5" s="348"/>
      <c r="AX5" s="348"/>
      <c r="AY5" s="348"/>
      <c r="AZ5" s="348"/>
      <c r="BA5" s="348"/>
      <c r="BB5" s="348"/>
      <c r="BC5" s="348"/>
      <c r="BD5" s="348"/>
      <c r="BE5" s="348"/>
      <c r="BF5" s="348"/>
      <c r="BG5" s="348"/>
      <c r="BH5" s="348"/>
      <c r="BI5" s="348"/>
      <c r="BJ5" s="348"/>
      <c r="BK5" s="348"/>
      <c r="BL5" s="348"/>
      <c r="BM5" s="348"/>
      <c r="BN5" s="348"/>
      <c r="BO5" s="348"/>
      <c r="BP5" s="348"/>
    </row>
    <row r="6" spans="1:72" x14ac:dyDescent="0.3">
      <c r="D6" s="348"/>
      <c r="N6" s="399"/>
      <c r="O6" s="399"/>
      <c r="P6" s="399"/>
      <c r="Q6" s="399"/>
      <c r="R6" s="399"/>
      <c r="S6" s="399"/>
      <c r="T6" s="399"/>
      <c r="U6" s="399"/>
      <c r="V6" s="399"/>
      <c r="W6" s="399"/>
      <c r="X6" s="399"/>
      <c r="Y6" s="399"/>
      <c r="Z6" s="399"/>
      <c r="AA6" s="399"/>
      <c r="AB6" s="399"/>
      <c r="AC6" s="399"/>
      <c r="AD6" s="399"/>
    </row>
    <row r="7" spans="1:72" x14ac:dyDescent="0.3">
      <c r="D7" s="348"/>
      <c r="N7" s="399"/>
      <c r="O7" s="399"/>
      <c r="P7" s="399"/>
      <c r="Q7" s="399"/>
      <c r="R7" s="399"/>
      <c r="S7" s="399"/>
      <c r="T7" s="399"/>
      <c r="U7" s="399"/>
      <c r="V7" s="399"/>
      <c r="W7" s="399"/>
      <c r="X7" s="399"/>
      <c r="Y7" s="399"/>
      <c r="Z7" s="399"/>
      <c r="AA7" s="399"/>
      <c r="AB7" s="399"/>
      <c r="AC7" s="399"/>
      <c r="AD7" s="399"/>
    </row>
    <row r="8" spans="1:72" ht="30" customHeight="1" x14ac:dyDescent="0.3">
      <c r="D8" s="348"/>
      <c r="H8" s="801" t="s">
        <v>578</v>
      </c>
      <c r="I8" s="802"/>
      <c r="J8" s="802"/>
      <c r="K8" s="802"/>
      <c r="L8" s="802"/>
      <c r="M8" s="802"/>
      <c r="N8" s="803"/>
      <c r="O8" s="813" t="s">
        <v>571</v>
      </c>
      <c r="P8" s="814"/>
      <c r="Q8" s="814"/>
      <c r="R8" s="814"/>
      <c r="S8" s="814"/>
      <c r="T8" s="814"/>
      <c r="U8" s="814"/>
      <c r="V8" s="814"/>
      <c r="W8" s="814"/>
      <c r="X8" s="710"/>
      <c r="Y8" s="710"/>
      <c r="Z8" s="710"/>
      <c r="AA8" s="710"/>
      <c r="AB8" s="710"/>
      <c r="AC8" s="810" t="s">
        <v>581</v>
      </c>
      <c r="AD8" s="810" t="s">
        <v>285</v>
      </c>
      <c r="AE8" s="801" t="s">
        <v>17</v>
      </c>
      <c r="AF8" s="802"/>
      <c r="AG8" s="802"/>
      <c r="AH8" s="802"/>
      <c r="AI8" s="802"/>
      <c r="AJ8" s="802"/>
      <c r="AK8" s="802"/>
      <c r="AL8" s="802"/>
      <c r="AM8" s="802"/>
      <c r="AN8" s="802"/>
      <c r="AO8" s="802"/>
      <c r="AP8" s="802"/>
      <c r="AQ8" s="802"/>
      <c r="AR8" s="802"/>
      <c r="AS8" s="802"/>
      <c r="AT8" s="801" t="s">
        <v>559</v>
      </c>
      <c r="AU8" s="802"/>
      <c r="AV8" s="802"/>
      <c r="AW8" s="802"/>
      <c r="AX8" s="802"/>
      <c r="AY8" s="802"/>
      <c r="AZ8" s="802"/>
      <c r="BA8" s="802"/>
      <c r="BB8" s="802"/>
      <c r="BC8" s="802"/>
      <c r="BD8" s="802"/>
      <c r="BE8" s="802"/>
      <c r="BF8" s="802"/>
      <c r="BG8" s="802"/>
      <c r="BH8" s="802"/>
      <c r="BI8" s="815" t="s">
        <v>562</v>
      </c>
      <c r="BJ8" s="816"/>
      <c r="BK8" s="810" t="s">
        <v>561</v>
      </c>
      <c r="BL8" s="810" t="s">
        <v>560</v>
      </c>
      <c r="BM8" s="810" t="s">
        <v>527</v>
      </c>
      <c r="BN8" s="810" t="s">
        <v>580</v>
      </c>
      <c r="BO8" s="832" t="s">
        <v>771</v>
      </c>
      <c r="BP8" s="810" t="s">
        <v>576</v>
      </c>
      <c r="BQ8" s="418"/>
      <c r="BR8" s="418"/>
    </row>
    <row r="9" spans="1:72" ht="25.5" customHeight="1" x14ac:dyDescent="0.3">
      <c r="D9" s="348"/>
      <c r="H9" s="804"/>
      <c r="I9" s="805"/>
      <c r="J9" s="805"/>
      <c r="K9" s="805"/>
      <c r="L9" s="805"/>
      <c r="M9" s="805"/>
      <c r="N9" s="806"/>
      <c r="O9" s="801" t="s">
        <v>572</v>
      </c>
      <c r="P9" s="802"/>
      <c r="Q9" s="802"/>
      <c r="R9" s="802"/>
      <c r="S9" s="802"/>
      <c r="T9" s="802"/>
      <c r="U9" s="803"/>
      <c r="V9" s="810" t="s">
        <v>573</v>
      </c>
      <c r="W9" s="810" t="s">
        <v>574</v>
      </c>
      <c r="X9" s="810" t="s">
        <v>489</v>
      </c>
      <c r="Y9" s="810" t="s">
        <v>488</v>
      </c>
      <c r="Z9" s="810" t="s">
        <v>731</v>
      </c>
      <c r="AA9" s="715" t="s">
        <v>727</v>
      </c>
      <c r="AB9" s="715" t="s">
        <v>733</v>
      </c>
      <c r="AC9" s="811"/>
      <c r="AD9" s="811"/>
      <c r="AE9" s="804"/>
      <c r="AF9" s="805"/>
      <c r="AG9" s="805"/>
      <c r="AH9" s="805"/>
      <c r="AI9" s="805"/>
      <c r="AJ9" s="805"/>
      <c r="AK9" s="805"/>
      <c r="AL9" s="805"/>
      <c r="AM9" s="805"/>
      <c r="AN9" s="805"/>
      <c r="AO9" s="805"/>
      <c r="AP9" s="805"/>
      <c r="AQ9" s="805"/>
      <c r="AR9" s="805"/>
      <c r="AS9" s="805"/>
      <c r="AT9" s="804"/>
      <c r="AU9" s="805"/>
      <c r="AV9" s="805"/>
      <c r="AW9" s="805"/>
      <c r="AX9" s="805"/>
      <c r="AY9" s="805"/>
      <c r="AZ9" s="805"/>
      <c r="BA9" s="805"/>
      <c r="BB9" s="805"/>
      <c r="BC9" s="805"/>
      <c r="BD9" s="805"/>
      <c r="BE9" s="805"/>
      <c r="BF9" s="805"/>
      <c r="BG9" s="805"/>
      <c r="BH9" s="805"/>
      <c r="BI9" s="817"/>
      <c r="BJ9" s="818"/>
      <c r="BK9" s="811"/>
      <c r="BL9" s="811"/>
      <c r="BM9" s="811"/>
      <c r="BN9" s="811"/>
      <c r="BO9" s="833"/>
      <c r="BP9" s="811"/>
      <c r="BQ9" s="418"/>
      <c r="BR9" s="418"/>
    </row>
    <row r="10" spans="1:72" ht="33.75" customHeight="1" x14ac:dyDescent="0.3">
      <c r="D10" s="348"/>
      <c r="H10" s="807"/>
      <c r="I10" s="808"/>
      <c r="J10" s="808"/>
      <c r="K10" s="808"/>
      <c r="L10" s="808"/>
      <c r="M10" s="808"/>
      <c r="N10" s="809"/>
      <c r="O10" s="807"/>
      <c r="P10" s="808"/>
      <c r="Q10" s="808"/>
      <c r="R10" s="808"/>
      <c r="S10" s="808"/>
      <c r="T10" s="808"/>
      <c r="U10" s="809"/>
      <c r="V10" s="811"/>
      <c r="W10" s="811"/>
      <c r="X10" s="811"/>
      <c r="Y10" s="811"/>
      <c r="Z10" s="811"/>
      <c r="AA10" s="715"/>
      <c r="AB10" s="715"/>
      <c r="AC10" s="811"/>
      <c r="AD10" s="811"/>
      <c r="AE10" s="807"/>
      <c r="AF10" s="808"/>
      <c r="AG10" s="808"/>
      <c r="AH10" s="808"/>
      <c r="AI10" s="808"/>
      <c r="AJ10" s="808"/>
      <c r="AK10" s="808"/>
      <c r="AL10" s="808"/>
      <c r="AM10" s="808"/>
      <c r="AN10" s="808"/>
      <c r="AO10" s="808"/>
      <c r="AP10" s="808"/>
      <c r="AQ10" s="808"/>
      <c r="AR10" s="808"/>
      <c r="AS10" s="808"/>
      <c r="AT10" s="807"/>
      <c r="AU10" s="808"/>
      <c r="AV10" s="808"/>
      <c r="AW10" s="808"/>
      <c r="AX10" s="808"/>
      <c r="AY10" s="808"/>
      <c r="AZ10" s="808"/>
      <c r="BA10" s="808"/>
      <c r="BB10" s="808"/>
      <c r="BC10" s="808"/>
      <c r="BD10" s="808"/>
      <c r="BE10" s="808"/>
      <c r="BF10" s="808"/>
      <c r="BG10" s="808"/>
      <c r="BH10" s="808"/>
      <c r="BI10" s="819"/>
      <c r="BJ10" s="820"/>
      <c r="BK10" s="811"/>
      <c r="BL10" s="811"/>
      <c r="BM10" s="811"/>
      <c r="BN10" s="811"/>
      <c r="BO10" s="833"/>
      <c r="BP10" s="811"/>
      <c r="BQ10" s="418"/>
      <c r="BR10" s="418"/>
    </row>
    <row r="11" spans="1:72" ht="34.5" customHeight="1" x14ac:dyDescent="0.3">
      <c r="D11" s="348"/>
      <c r="H11" s="648" t="s">
        <v>6</v>
      </c>
      <c r="I11" s="648" t="s">
        <v>7</v>
      </c>
      <c r="J11" s="648" t="s">
        <v>8</v>
      </c>
      <c r="K11" s="648" t="s">
        <v>9</v>
      </c>
      <c r="L11" s="648" t="s">
        <v>10</v>
      </c>
      <c r="M11" s="648" t="s">
        <v>11</v>
      </c>
      <c r="N11" s="347" t="s">
        <v>409</v>
      </c>
      <c r="O11" s="431" t="s">
        <v>669</v>
      </c>
      <c r="P11" s="431" t="s">
        <v>670</v>
      </c>
      <c r="Q11" s="431" t="s">
        <v>675</v>
      </c>
      <c r="R11" s="431" t="s">
        <v>671</v>
      </c>
      <c r="S11" s="431" t="s">
        <v>672</v>
      </c>
      <c r="T11" s="431" t="s">
        <v>673</v>
      </c>
      <c r="U11" s="431" t="s">
        <v>674</v>
      </c>
      <c r="V11" s="812"/>
      <c r="W11" s="812"/>
      <c r="X11" s="812"/>
      <c r="Y11" s="812"/>
      <c r="Z11" s="812"/>
      <c r="AA11" s="712"/>
      <c r="AB11" s="712"/>
      <c r="AC11" s="812"/>
      <c r="AD11" s="812"/>
      <c r="AE11" s="368">
        <v>1</v>
      </c>
      <c r="AF11" s="368">
        <v>2</v>
      </c>
      <c r="AG11" s="368">
        <v>3</v>
      </c>
      <c r="AH11" s="368">
        <v>4</v>
      </c>
      <c r="AI11" s="368">
        <v>5</v>
      </c>
      <c r="AJ11" s="368">
        <v>6</v>
      </c>
      <c r="AK11" s="368">
        <v>7</v>
      </c>
      <c r="AL11" s="368">
        <v>8</v>
      </c>
      <c r="AM11" s="368">
        <v>9</v>
      </c>
      <c r="AN11" s="368">
        <v>10</v>
      </c>
      <c r="AO11" s="368">
        <v>11</v>
      </c>
      <c r="AP11" s="368">
        <v>12</v>
      </c>
      <c r="AQ11" s="368">
        <v>13</v>
      </c>
      <c r="AR11" s="368">
        <v>14</v>
      </c>
      <c r="AS11" s="368">
        <v>15</v>
      </c>
      <c r="AT11" s="368">
        <v>1</v>
      </c>
      <c r="AU11" s="368">
        <v>2</v>
      </c>
      <c r="AV11" s="368">
        <v>3</v>
      </c>
      <c r="AW11" s="368">
        <v>4</v>
      </c>
      <c r="AX11" s="368">
        <v>5</v>
      </c>
      <c r="AY11" s="368">
        <v>6</v>
      </c>
      <c r="AZ11" s="368">
        <v>7</v>
      </c>
      <c r="BA11" s="368">
        <v>8</v>
      </c>
      <c r="BB11" s="368">
        <v>9</v>
      </c>
      <c r="BC11" s="368">
        <v>10</v>
      </c>
      <c r="BD11" s="368">
        <v>11</v>
      </c>
      <c r="BE11" s="368">
        <v>12</v>
      </c>
      <c r="BF11" s="368">
        <v>13</v>
      </c>
      <c r="BG11" s="368">
        <v>14</v>
      </c>
      <c r="BH11" s="368">
        <v>15</v>
      </c>
      <c r="BI11" s="416" t="s">
        <v>563</v>
      </c>
      <c r="BJ11" s="416" t="s">
        <v>525</v>
      </c>
      <c r="BK11" s="812"/>
      <c r="BL11" s="812"/>
      <c r="BM11" s="812"/>
      <c r="BN11" s="812"/>
      <c r="BO11" s="834"/>
      <c r="BP11" s="812"/>
      <c r="BQ11" s="418" t="s">
        <v>542</v>
      </c>
      <c r="BR11" s="418" t="s">
        <v>541</v>
      </c>
      <c r="BS11" s="644"/>
      <c r="BT11" s="644"/>
    </row>
    <row r="12" spans="1:72" s="399" customFormat="1" ht="34.5" customHeight="1" x14ac:dyDescent="0.45">
      <c r="H12" s="771">
        <v>1</v>
      </c>
      <c r="I12" s="771">
        <f>1+H12</f>
        <v>2</v>
      </c>
      <c r="J12" s="771">
        <f t="shared" ref="J12:BP12" si="1">1+I12</f>
        <v>3</v>
      </c>
      <c r="K12" s="771">
        <f t="shared" si="1"/>
        <v>4</v>
      </c>
      <c r="L12" s="771">
        <f t="shared" si="1"/>
        <v>5</v>
      </c>
      <c r="M12" s="771">
        <f t="shared" si="1"/>
        <v>6</v>
      </c>
      <c r="N12" s="771">
        <f t="shared" si="1"/>
        <v>7</v>
      </c>
      <c r="O12" s="771">
        <f t="shared" si="1"/>
        <v>8</v>
      </c>
      <c r="P12" s="771">
        <f t="shared" si="1"/>
        <v>9</v>
      </c>
      <c r="Q12" s="771">
        <f t="shared" si="1"/>
        <v>10</v>
      </c>
      <c r="R12" s="771">
        <f t="shared" si="1"/>
        <v>11</v>
      </c>
      <c r="S12" s="771">
        <f t="shared" si="1"/>
        <v>12</v>
      </c>
      <c r="T12" s="771">
        <f t="shared" si="1"/>
        <v>13</v>
      </c>
      <c r="U12" s="771">
        <f t="shared" si="1"/>
        <v>14</v>
      </c>
      <c r="V12" s="771">
        <f t="shared" si="1"/>
        <v>15</v>
      </c>
      <c r="W12" s="771">
        <f t="shared" si="1"/>
        <v>16</v>
      </c>
      <c r="X12" s="771">
        <f t="shared" si="1"/>
        <v>17</v>
      </c>
      <c r="Y12" s="771">
        <f t="shared" si="1"/>
        <v>18</v>
      </c>
      <c r="Z12" s="771">
        <f t="shared" si="1"/>
        <v>19</v>
      </c>
      <c r="AA12" s="771">
        <f t="shared" si="1"/>
        <v>20</v>
      </c>
      <c r="AB12" s="771">
        <f t="shared" si="1"/>
        <v>21</v>
      </c>
      <c r="AC12" s="771">
        <f t="shared" si="1"/>
        <v>22</v>
      </c>
      <c r="AD12" s="771">
        <f t="shared" si="1"/>
        <v>23</v>
      </c>
      <c r="AE12" s="771">
        <f t="shared" si="1"/>
        <v>24</v>
      </c>
      <c r="AF12" s="771">
        <f t="shared" si="1"/>
        <v>25</v>
      </c>
      <c r="AG12" s="771">
        <f t="shared" si="1"/>
        <v>26</v>
      </c>
      <c r="AH12" s="771">
        <f t="shared" si="1"/>
        <v>27</v>
      </c>
      <c r="AI12" s="771">
        <f t="shared" si="1"/>
        <v>28</v>
      </c>
      <c r="AJ12" s="771">
        <f t="shared" si="1"/>
        <v>29</v>
      </c>
      <c r="AK12" s="771">
        <f t="shared" si="1"/>
        <v>30</v>
      </c>
      <c r="AL12" s="771">
        <f t="shared" si="1"/>
        <v>31</v>
      </c>
      <c r="AM12" s="771">
        <f t="shared" si="1"/>
        <v>32</v>
      </c>
      <c r="AN12" s="771">
        <f t="shared" si="1"/>
        <v>33</v>
      </c>
      <c r="AO12" s="771">
        <f t="shared" si="1"/>
        <v>34</v>
      </c>
      <c r="AP12" s="771">
        <f t="shared" si="1"/>
        <v>35</v>
      </c>
      <c r="AQ12" s="771">
        <f t="shared" si="1"/>
        <v>36</v>
      </c>
      <c r="AR12" s="771">
        <f t="shared" si="1"/>
        <v>37</v>
      </c>
      <c r="AS12" s="771">
        <f t="shared" si="1"/>
        <v>38</v>
      </c>
      <c r="AT12" s="771">
        <f t="shared" si="1"/>
        <v>39</v>
      </c>
      <c r="AU12" s="771">
        <f t="shared" si="1"/>
        <v>40</v>
      </c>
      <c r="AV12" s="771">
        <f t="shared" si="1"/>
        <v>41</v>
      </c>
      <c r="AW12" s="771">
        <f t="shared" si="1"/>
        <v>42</v>
      </c>
      <c r="AX12" s="771">
        <f t="shared" si="1"/>
        <v>43</v>
      </c>
      <c r="AY12" s="771">
        <f t="shared" si="1"/>
        <v>44</v>
      </c>
      <c r="AZ12" s="771">
        <f t="shared" si="1"/>
        <v>45</v>
      </c>
      <c r="BA12" s="771">
        <f t="shared" si="1"/>
        <v>46</v>
      </c>
      <c r="BB12" s="771">
        <f t="shared" si="1"/>
        <v>47</v>
      </c>
      <c r="BC12" s="771">
        <f t="shared" si="1"/>
        <v>48</v>
      </c>
      <c r="BD12" s="771">
        <f t="shared" si="1"/>
        <v>49</v>
      </c>
      <c r="BE12" s="771">
        <f t="shared" si="1"/>
        <v>50</v>
      </c>
      <c r="BF12" s="771">
        <f t="shared" si="1"/>
        <v>51</v>
      </c>
      <c r="BG12" s="771">
        <f t="shared" si="1"/>
        <v>52</v>
      </c>
      <c r="BH12" s="771">
        <f t="shared" si="1"/>
        <v>53</v>
      </c>
      <c r="BI12" s="771">
        <f t="shared" si="1"/>
        <v>54</v>
      </c>
      <c r="BJ12" s="771">
        <f t="shared" si="1"/>
        <v>55</v>
      </c>
      <c r="BK12" s="771">
        <f t="shared" si="1"/>
        <v>56</v>
      </c>
      <c r="BL12" s="771">
        <f t="shared" si="1"/>
        <v>57</v>
      </c>
      <c r="BM12" s="771">
        <f t="shared" si="1"/>
        <v>58</v>
      </c>
      <c r="BN12" s="771">
        <f t="shared" si="1"/>
        <v>59</v>
      </c>
      <c r="BO12" s="771">
        <f t="shared" si="1"/>
        <v>60</v>
      </c>
      <c r="BP12" s="771">
        <f t="shared" si="1"/>
        <v>61</v>
      </c>
      <c r="BQ12" s="768"/>
      <c r="BR12" s="768"/>
      <c r="BS12" s="772"/>
      <c r="BT12" s="772"/>
    </row>
    <row r="13" spans="1:72" ht="33.75" customHeight="1" x14ac:dyDescent="0.45">
      <c r="A13" s="418"/>
      <c r="C13" s="810" t="s">
        <v>578</v>
      </c>
      <c r="D13" s="821" t="s">
        <v>6</v>
      </c>
      <c r="E13" s="821"/>
      <c r="F13" s="821"/>
      <c r="G13" s="767">
        <v>1</v>
      </c>
      <c r="H13" s="455"/>
      <c r="I13" s="455"/>
      <c r="J13" s="455"/>
      <c r="K13" s="455"/>
      <c r="L13" s="455"/>
      <c r="M13" s="455"/>
      <c r="N13" s="455"/>
      <c r="O13" s="456"/>
      <c r="P13" s="456"/>
      <c r="Q13" s="456"/>
      <c r="R13" s="456"/>
      <c r="S13" s="456"/>
      <c r="T13" s="456"/>
      <c r="U13" s="456"/>
      <c r="V13" s="455"/>
      <c r="W13" s="455"/>
      <c r="X13" s="455"/>
      <c r="Y13" s="455"/>
      <c r="Z13" s="455"/>
      <c r="AA13" s="455"/>
      <c r="AB13" s="455"/>
      <c r="AC13" s="455"/>
      <c r="AD13" s="455"/>
      <c r="AE13" s="457">
        <f>('datos prec. compr.'!BP$20+fonavi!C$3)*('Trabajo por tipo'!C24/'Trabajo por tipo'!C$30)+('datos prec. compr.'!BP$20+fonavi!C$3)*'Trabajo por tipo'!C$48/'Trabajo por tipo'!C$30*'Trabajo por tipo'!C42/'Trabajo por tipo'!C$48</f>
        <v>841766868.0413785</v>
      </c>
      <c r="AF13" s="457">
        <f>('datos prec. compr.'!BQ$20+fonavi!D$3)*('Trabajo por tipo'!D24/'Trabajo por tipo'!D$30)+('datos prec. compr.'!BQ$20+fonavi!D$3)*'Trabajo por tipo'!D$48/'Trabajo por tipo'!D$30*'Trabajo por tipo'!D42/'Trabajo por tipo'!D$48</f>
        <v>161018600.96590459</v>
      </c>
      <c r="AG13" s="457">
        <f>('datos prec. compr.'!BR$20+fonavi!E$3)*('Trabajo por tipo'!E24/'Trabajo por tipo'!E$30)+('datos prec. compr.'!BR$20+fonavi!E$3)*'Trabajo por tipo'!E$48/'Trabajo por tipo'!E$30*'Trabajo por tipo'!E42/'Trabajo por tipo'!E$48</f>
        <v>626182140.51598191</v>
      </c>
      <c r="AH13" s="457">
        <f>('datos prec. compr.'!BS$20+fonavi!F$3)*('Trabajo por tipo'!F24/'Trabajo por tipo'!F$30)+('datos prec. compr.'!BS$20+fonavi!F$3)*'Trabajo por tipo'!F$48/'Trabajo por tipo'!F$30*'Trabajo por tipo'!F42/'Trabajo por tipo'!F$48</f>
        <v>293149344.15903479</v>
      </c>
      <c r="AI13" s="457">
        <f>('datos prec. compr.'!BT$20+fonavi!G$3)*('Trabajo por tipo'!G24/'Trabajo por tipo'!G$30)+('datos prec. compr.'!BT$20+fonavi!G$3)*'Trabajo por tipo'!G$48/'Trabajo por tipo'!G$30*'Trabajo por tipo'!G42/'Trabajo por tipo'!G$48</f>
        <v>241981729.25435472</v>
      </c>
      <c r="AJ13" s="457">
        <f>('datos prec. compr.'!BU$20+fonavi!H$3)*('Trabajo por tipo'!H24/'Trabajo por tipo'!H$30)+('datos prec. compr.'!BU$20+fonavi!H$3)*'Trabajo por tipo'!H$48/'Trabajo por tipo'!H$30*'Trabajo por tipo'!H42/'Trabajo por tipo'!H$48</f>
        <v>427604781.1393472</v>
      </c>
      <c r="AK13" s="457">
        <f>('datos prec. compr.'!BV$20+fonavi!I$3)*('Trabajo por tipo'!I24/'Trabajo por tipo'!I$30)+('datos prec. compr.'!BV$20+fonavi!I$3)*'Trabajo por tipo'!I$48/'Trabajo por tipo'!I$30*'Trabajo por tipo'!I42/'Trabajo por tipo'!I$48</f>
        <v>93002670.556827307</v>
      </c>
      <c r="AL13" s="457">
        <f>('datos prec. compr.'!BW$20+fonavi!J$3)*('Trabajo por tipo'!J24/'Trabajo por tipo'!J$30)+('datos prec. compr.'!BW$20+fonavi!J$3)*'Trabajo por tipo'!J$48/'Trabajo por tipo'!J$30*'Trabajo por tipo'!J42/'Trabajo por tipo'!J$48</f>
        <v>640339260.35747564</v>
      </c>
      <c r="AM13" s="457">
        <f>('datos prec. compr.'!BX$20+fonavi!K$3)*('Trabajo por tipo'!K24/'Trabajo por tipo'!K$30)+('datos prec. compr.'!BX$20+fonavi!K$3)*'Trabajo por tipo'!K$48/'Trabajo por tipo'!K$30*'Trabajo por tipo'!K42/'Trabajo por tipo'!K$48</f>
        <v>582498237.49553025</v>
      </c>
      <c r="AN13" s="457">
        <f>('datos prec. compr.'!BY$20+fonavi!L$3)*('Trabajo por tipo'!L24/'Trabajo por tipo'!L$30)+('datos prec. compr.'!BY$20+fonavi!L$3)*'Trabajo por tipo'!L$48/'Trabajo por tipo'!L$30*'Trabajo por tipo'!L42/'Trabajo por tipo'!L$48</f>
        <v>613240497.78552675</v>
      </c>
      <c r="AO13" s="457">
        <f>('datos prec. compr.'!BZ$20+fonavi!M$3)*('Trabajo por tipo'!M24/'Trabajo por tipo'!M$30)+('datos prec. compr.'!BZ$20+fonavi!M$3)*'Trabajo por tipo'!M$48/'Trabajo por tipo'!M$30*'Trabajo por tipo'!M42/'Trabajo por tipo'!M$48</f>
        <v>67057889.650998197</v>
      </c>
      <c r="AP13" s="457">
        <f>('datos prec. compr.'!CA$20+fonavi!N$3)*('Trabajo por tipo'!N24/'Trabajo por tipo'!N$30)+('datos prec. compr.'!CA$20+fonavi!N$3)*'Trabajo por tipo'!N$48/'Trabajo por tipo'!N$30*'Trabajo por tipo'!N42/'Trabajo por tipo'!N$48</f>
        <v>12973875.956407225</v>
      </c>
      <c r="AQ13" s="457">
        <f>('datos prec. compr.'!CB$20+fonavi!O$3)*('Trabajo por tipo'!O24/'Trabajo por tipo'!O$30)+('datos prec. compr.'!CB$20+fonavi!O$3)*'Trabajo por tipo'!O$48/'Trabajo por tipo'!O$30*'Trabajo por tipo'!O42/'Trabajo por tipo'!O$48</f>
        <v>513699604.83572888</v>
      </c>
      <c r="AR13" s="457">
        <f>('datos prec. compr.'!CC$20+fonavi!P$3)*('Trabajo por tipo'!P24/'Trabajo por tipo'!P$30)+('datos prec. compr.'!CC$20+fonavi!P$3)*'Trabajo por tipo'!P$48/'Trabajo por tipo'!P$30*'Trabajo por tipo'!P42/'Trabajo por tipo'!P$48</f>
        <v>700673308.51852083</v>
      </c>
      <c r="AS13" s="457">
        <f>('datos prec. compr.'!CD$20+fonavi!Q$3)*('Trabajo por tipo'!Q24/'Trabajo por tipo'!Q$30)+('datos prec. compr.'!CD$20+fonavi!Q$3)*'Trabajo por tipo'!Q$48/'Trabajo por tipo'!Q$30*'Trabajo por tipo'!Q42/'Trabajo por tipo'!Q$48</f>
        <v>714089361.68527591</v>
      </c>
      <c r="AT13" s="455"/>
      <c r="AU13" s="470"/>
      <c r="AV13" s="455"/>
      <c r="AW13" s="455"/>
      <c r="AX13" s="455"/>
      <c r="AY13" s="455"/>
      <c r="AZ13" s="455"/>
      <c r="BA13" s="455"/>
      <c r="BB13" s="455"/>
      <c r="BC13" s="455"/>
      <c r="BD13" s="455"/>
      <c r="BE13" s="455"/>
      <c r="BF13" s="455"/>
      <c r="BG13" s="455"/>
      <c r="BH13" s="455"/>
      <c r="BI13" s="458"/>
      <c r="BJ13" s="458"/>
      <c r="BK13" s="455"/>
      <c r="BL13" s="455"/>
      <c r="BM13" s="455"/>
      <c r="BN13" s="459">
        <f>(+Parámetros!$B$3*'SAM macro'!$U$10)*'Trabajo por tipo'!L24/'Trabajo por tipo'!L$30</f>
        <v>-439728451.16154373</v>
      </c>
      <c r="BO13" s="458"/>
      <c r="BP13" s="455">
        <f>SUM(H13:BO13)</f>
        <v>6089549719.7567492</v>
      </c>
      <c r="BQ13" s="347">
        <v>5977813097.406971</v>
      </c>
      <c r="BR13" s="418">
        <f>+BQ13-BP13</f>
        <v>-111736622.34977818</v>
      </c>
      <c r="BS13" s="644"/>
      <c r="BT13" s="644"/>
    </row>
    <row r="14" spans="1:72" ht="33.75" customHeight="1" x14ac:dyDescent="0.45">
      <c r="A14" s="432"/>
      <c r="C14" s="811"/>
      <c r="D14" s="821" t="s">
        <v>7</v>
      </c>
      <c r="E14" s="821"/>
      <c r="F14" s="821"/>
      <c r="G14" s="767">
        <f>1+G13</f>
        <v>2</v>
      </c>
      <c r="H14" s="455"/>
      <c r="I14" s="455"/>
      <c r="J14" s="455"/>
      <c r="K14" s="455"/>
      <c r="L14" s="455"/>
      <c r="M14" s="455"/>
      <c r="N14" s="455"/>
      <c r="O14" s="456"/>
      <c r="P14" s="456"/>
      <c r="Q14" s="456"/>
      <c r="R14" s="456"/>
      <c r="S14" s="456"/>
      <c r="T14" s="456"/>
      <c r="U14" s="456"/>
      <c r="V14" s="455"/>
      <c r="W14" s="455"/>
      <c r="X14" s="455"/>
      <c r="Y14" s="455"/>
      <c r="Z14" s="455"/>
      <c r="AA14" s="455"/>
      <c r="AB14" s="455"/>
      <c r="AC14" s="455"/>
      <c r="AD14" s="455"/>
      <c r="AE14" s="457">
        <f>('datos prec. compr.'!BP$20+fonavi!C$3)*('Trabajo por tipo'!C25/'Trabajo por tipo'!C$30)+('datos prec. compr.'!BP$20+fonavi!C$3)*'Trabajo por tipo'!C$48/'Trabajo por tipo'!C$30*'Trabajo por tipo'!C43/'Trabajo por tipo'!C$48</f>
        <v>867434107.1495713</v>
      </c>
      <c r="AF14" s="457">
        <f>('datos prec. compr.'!BQ$20+fonavi!D$3)*('Trabajo por tipo'!D25/'Trabajo por tipo'!D$30)+('datos prec. compr.'!BQ$20+fonavi!D$3)*'Trabajo por tipo'!D$48/'Trabajo por tipo'!D$30*'Trabajo por tipo'!D43/'Trabajo por tipo'!D$48</f>
        <v>79056530.441759795</v>
      </c>
      <c r="AG14" s="457">
        <f>('datos prec. compr.'!BR$20+fonavi!E$3)*('Trabajo por tipo'!E25/'Trabajo por tipo'!E$30)+('datos prec. compr.'!BR$20+fonavi!E$3)*'Trabajo por tipo'!E$48/'Trabajo por tipo'!E$30*'Trabajo por tipo'!E43/'Trabajo por tipo'!E$48</f>
        <v>21906479.546496592</v>
      </c>
      <c r="AH14" s="457">
        <f>('datos prec. compr.'!BS$20+fonavi!F$3)*('Trabajo por tipo'!F25/'Trabajo por tipo'!F$30)+('datos prec. compr.'!BS$20+fonavi!F$3)*'Trabajo por tipo'!F$48/'Trabajo por tipo'!F$30*'Trabajo por tipo'!F43/'Trabajo por tipo'!F$48</f>
        <v>121396708.11691475</v>
      </c>
      <c r="AI14" s="457">
        <f>('datos prec. compr.'!BT$20+fonavi!G$3)*('Trabajo por tipo'!G25/'Trabajo por tipo'!G$30)+('datos prec. compr.'!BT$20+fonavi!G$3)*'Trabajo por tipo'!G$48/'Trabajo por tipo'!G$30*'Trabajo por tipo'!G43/'Trabajo por tipo'!G$48</f>
        <v>192916235.25315335</v>
      </c>
      <c r="AJ14" s="457">
        <f>('datos prec. compr.'!BU$20+fonavi!H$3)*('Trabajo por tipo'!H25/'Trabajo por tipo'!H$30)+('datos prec. compr.'!BU$20+fonavi!H$3)*'Trabajo por tipo'!H$48/'Trabajo por tipo'!H$30*'Trabajo por tipo'!H43/'Trabajo por tipo'!H$48</f>
        <v>666458971.13556242</v>
      </c>
      <c r="AK14" s="457">
        <f>('datos prec. compr.'!BV$20+fonavi!I$3)*('Trabajo por tipo'!I25/'Trabajo por tipo'!I$30)+('datos prec. compr.'!BV$20+fonavi!I$3)*'Trabajo por tipo'!I$48/'Trabajo por tipo'!I$30*'Trabajo por tipo'!I43/'Trabajo por tipo'!I$48</f>
        <v>15392152.707449822</v>
      </c>
      <c r="AL14" s="457">
        <f>('datos prec. compr.'!BW$20+fonavi!J$3)*('Trabajo por tipo'!J25/'Trabajo por tipo'!J$30)+('datos prec. compr.'!BW$20+fonavi!J$3)*'Trabajo por tipo'!J$48/'Trabajo por tipo'!J$30*'Trabajo por tipo'!J43/'Trabajo por tipo'!J$48</f>
        <v>431834426.4414947</v>
      </c>
      <c r="AM14" s="457">
        <f>('datos prec. compr.'!BX$20+fonavi!K$3)*('Trabajo por tipo'!K25/'Trabajo por tipo'!K$30)+('datos prec. compr.'!BX$20+fonavi!K$3)*'Trabajo por tipo'!K$48/'Trabajo por tipo'!K$30*'Trabajo por tipo'!K43/'Trabajo por tipo'!K$48</f>
        <v>3845883034.7888489</v>
      </c>
      <c r="AN14" s="457">
        <f>('datos prec. compr.'!BY$20+fonavi!L$3)*('Trabajo por tipo'!L25/'Trabajo por tipo'!L$30)+('datos prec. compr.'!BY$20+fonavi!L$3)*'Trabajo por tipo'!L$48/'Trabajo por tipo'!L$30*'Trabajo por tipo'!L43/'Trabajo por tipo'!L$48</f>
        <v>1350679944.3383443</v>
      </c>
      <c r="AO14" s="457">
        <f>('datos prec. compr.'!BZ$20+fonavi!M$3)*('Trabajo por tipo'!M25/'Trabajo por tipo'!M$30)+('datos prec. compr.'!BZ$20+fonavi!M$3)*'Trabajo por tipo'!M$48/'Trabajo por tipo'!M$30*'Trabajo por tipo'!M43/'Trabajo por tipo'!M$48</f>
        <v>70074930.86055328</v>
      </c>
      <c r="AP14" s="457">
        <f>('datos prec. compr.'!CA$20+fonavi!N$3)*('Trabajo por tipo'!N25/'Trabajo por tipo'!N$30)+('datos prec. compr.'!CA$20+fonavi!N$3)*'Trabajo por tipo'!N$48/'Trabajo por tipo'!N$30*'Trabajo por tipo'!N43/'Trabajo por tipo'!N$48</f>
        <v>87164.441239249441</v>
      </c>
      <c r="AQ14" s="457">
        <f>('datos prec. compr.'!CB$20+fonavi!O$3)*('Trabajo por tipo'!O25/'Trabajo por tipo'!O$30)+('datos prec. compr.'!CB$20+fonavi!O$3)*'Trabajo por tipo'!O$48/'Trabajo por tipo'!O$30*'Trabajo por tipo'!O43/'Trabajo por tipo'!O$48</f>
        <v>0</v>
      </c>
      <c r="AR14" s="457">
        <f>('datos prec. compr.'!CC$20+fonavi!P$3)*('Trabajo por tipo'!P25/'Trabajo por tipo'!P$30)+('datos prec. compr.'!CC$20+fonavi!P$3)*'Trabajo por tipo'!P$48/'Trabajo por tipo'!P$30*'Trabajo por tipo'!P43/'Trabajo por tipo'!P$48</f>
        <v>585879826.67806101</v>
      </c>
      <c r="AS14" s="457">
        <f>('datos prec. compr.'!CD$20+fonavi!Q$3)*('Trabajo por tipo'!Q25/'Trabajo por tipo'!Q$30)+('datos prec. compr.'!CD$20+fonavi!Q$3)*'Trabajo por tipo'!Q$48/'Trabajo por tipo'!Q$30*'Trabajo por tipo'!Q43/'Trabajo por tipo'!Q$48</f>
        <v>878702551.14374328</v>
      </c>
      <c r="AT14" s="455"/>
      <c r="AU14" s="470"/>
      <c r="AV14" s="455"/>
      <c r="AW14" s="455"/>
      <c r="AX14" s="455"/>
      <c r="AY14" s="455"/>
      <c r="AZ14" s="455"/>
      <c r="BA14" s="455"/>
      <c r="BB14" s="455"/>
      <c r="BC14" s="455"/>
      <c r="BD14" s="455"/>
      <c r="BE14" s="455"/>
      <c r="BF14" s="455"/>
      <c r="BG14" s="455"/>
      <c r="BH14" s="455"/>
      <c r="BI14" s="458"/>
      <c r="BJ14" s="458"/>
      <c r="BK14" s="455"/>
      <c r="BL14" s="455"/>
      <c r="BM14" s="455"/>
      <c r="BN14" s="459">
        <f>(+Parámetros!$B$3*'SAM macro'!$U$10)*'Trabajo por tipo'!L25/'Trabajo por tipo'!L$30</f>
        <v>-7713995.9709450742</v>
      </c>
      <c r="BO14" s="458"/>
      <c r="BP14" s="455">
        <f t="shared" ref="BP14:BP72" si="2">SUM(H14:BO14)</f>
        <v>9119989067.0722485</v>
      </c>
      <c r="BQ14" s="347">
        <v>124829783.88198447</v>
      </c>
      <c r="BR14" s="418">
        <f t="shared" ref="BR14:BR71" si="3">+BQ14-BP14</f>
        <v>-8995159283.1902637</v>
      </c>
      <c r="BS14" s="644"/>
      <c r="BT14" s="644"/>
    </row>
    <row r="15" spans="1:72" ht="33.75" customHeight="1" x14ac:dyDescent="0.45">
      <c r="A15" s="432"/>
      <c r="C15" s="811"/>
      <c r="D15" s="821" t="s">
        <v>8</v>
      </c>
      <c r="E15" s="821"/>
      <c r="F15" s="821"/>
      <c r="G15" s="767">
        <f t="shared" ref="G15:G73" si="4">1+G14</f>
        <v>3</v>
      </c>
      <c r="H15" s="455"/>
      <c r="I15" s="455"/>
      <c r="J15" s="455"/>
      <c r="K15" s="455"/>
      <c r="L15" s="455"/>
      <c r="M15" s="455"/>
      <c r="N15" s="455"/>
      <c r="O15" s="456"/>
      <c r="P15" s="456"/>
      <c r="Q15" s="456"/>
      <c r="R15" s="456"/>
      <c r="S15" s="456"/>
      <c r="T15" s="456"/>
      <c r="U15" s="456"/>
      <c r="V15" s="455"/>
      <c r="W15" s="455"/>
      <c r="X15" s="455"/>
      <c r="Y15" s="455"/>
      <c r="Z15" s="455"/>
      <c r="AA15" s="455"/>
      <c r="AB15" s="455"/>
      <c r="AC15" s="455"/>
      <c r="AD15" s="455"/>
      <c r="AE15" s="457">
        <f>('datos prec. compr.'!BP$20+fonavi!C$3)*('Trabajo por tipo'!C26/'Trabajo por tipo'!C$30)+('datos prec. compr.'!BP$20+fonavi!C$3)*'Trabajo por tipo'!C$48/'Trabajo por tipo'!C$30*'Trabajo por tipo'!C44/'Trabajo por tipo'!C$48</f>
        <v>640690200.31372154</v>
      </c>
      <c r="AF15" s="457">
        <f>('datos prec. compr.'!BQ$20+fonavi!D$3)*('Trabajo por tipo'!D26/'Trabajo por tipo'!D$30)+('datos prec. compr.'!BQ$20+fonavi!D$3)*'Trabajo por tipo'!D$48/'Trabajo por tipo'!D$30*'Trabajo por tipo'!D44/'Trabajo por tipo'!D$48</f>
        <v>374191124.30712551</v>
      </c>
      <c r="AG15" s="457">
        <f>('datos prec. compr.'!BR$20+fonavi!E$3)*('Trabajo por tipo'!E26/'Trabajo por tipo'!E$30)+('datos prec. compr.'!BR$20+fonavi!E$3)*'Trabajo por tipo'!E$48/'Trabajo por tipo'!E$30*'Trabajo por tipo'!E44/'Trabajo por tipo'!E$48</f>
        <v>5149983957.5020838</v>
      </c>
      <c r="AH15" s="457">
        <f>('datos prec. compr.'!BS$20+fonavi!F$3)*('Trabajo por tipo'!F26/'Trabajo por tipo'!F$30)+('datos prec. compr.'!BS$20+fonavi!F$3)*'Trabajo por tipo'!F$48/'Trabajo por tipo'!F$30*'Trabajo por tipo'!F44/'Trabajo por tipo'!F$48</f>
        <v>2128043312.2316968</v>
      </c>
      <c r="AI15" s="457">
        <f>('datos prec. compr.'!BT$20+fonavi!G$3)*('Trabajo por tipo'!G26/'Trabajo por tipo'!G$30)+('datos prec. compr.'!BT$20+fonavi!G$3)*'Trabajo por tipo'!G$48/'Trabajo por tipo'!G$30*'Trabajo por tipo'!G44/'Trabajo por tipo'!G$48</f>
        <v>1272974423.7272327</v>
      </c>
      <c r="AJ15" s="457">
        <f>('datos prec. compr.'!BU$20+fonavi!H$3)*('Trabajo por tipo'!H26/'Trabajo por tipo'!H$30)+('datos prec. compr.'!BU$20+fonavi!H$3)*'Trabajo por tipo'!H$48/'Trabajo por tipo'!H$30*'Trabajo por tipo'!H44/'Trabajo por tipo'!H$48</f>
        <v>2734362103.9711933</v>
      </c>
      <c r="AK15" s="457">
        <f>('datos prec. compr.'!BV$20+fonavi!I$3)*('Trabajo por tipo'!I26/'Trabajo por tipo'!I$30)+('datos prec. compr.'!BV$20+fonavi!I$3)*'Trabajo por tipo'!I$48/'Trabajo por tipo'!I$30*'Trabajo por tipo'!I44/'Trabajo por tipo'!I$48</f>
        <v>1773694631.0439095</v>
      </c>
      <c r="AL15" s="457">
        <f>('datos prec. compr.'!BW$20+fonavi!J$3)*('Trabajo por tipo'!J26/'Trabajo por tipo'!J$30)+('datos prec. compr.'!BW$20+fonavi!J$3)*'Trabajo por tipo'!J$48/'Trabajo por tipo'!J$30*'Trabajo por tipo'!J44/'Trabajo por tipo'!J$48</f>
        <v>2650166375.6665826</v>
      </c>
      <c r="AM15" s="457">
        <f>('datos prec. compr.'!BX$20+fonavi!K$3)*('Trabajo por tipo'!K26/'Trabajo por tipo'!K$30)+('datos prec. compr.'!BX$20+fonavi!K$3)*'Trabajo por tipo'!K$48/'Trabajo por tipo'!K$30*'Trabajo por tipo'!K44/'Trabajo por tipo'!K$48</f>
        <v>4594693458.7498732</v>
      </c>
      <c r="AN15" s="457">
        <f>('datos prec. compr.'!BY$20+fonavi!L$3)*('Trabajo por tipo'!L26/'Trabajo por tipo'!L$30)+('datos prec. compr.'!BY$20+fonavi!L$3)*'Trabajo por tipo'!L$48/'Trabajo por tipo'!L$30*'Trabajo por tipo'!L44/'Trabajo por tipo'!L$48</f>
        <v>3918108601.8721948</v>
      </c>
      <c r="AO15" s="457">
        <f>('datos prec. compr.'!BZ$20+fonavi!M$3)*('Trabajo por tipo'!M26/'Trabajo por tipo'!M$30)+('datos prec. compr.'!BZ$20+fonavi!M$3)*'Trabajo por tipo'!M$48/'Trabajo por tipo'!M$30*'Trabajo por tipo'!M44/'Trabajo por tipo'!M$48</f>
        <v>1660052823.5735044</v>
      </c>
      <c r="AP15" s="457">
        <f>('datos prec. compr.'!CA$20+fonavi!N$3)*('Trabajo por tipo'!N26/'Trabajo por tipo'!N$30)+('datos prec. compr.'!CA$20+fonavi!N$3)*'Trabajo por tipo'!N$48/'Trabajo por tipo'!N$30*'Trabajo por tipo'!N44/'Trabajo por tipo'!N$48</f>
        <v>1658191789.5826826</v>
      </c>
      <c r="AQ15" s="457">
        <f>('datos prec. compr.'!CB$20+fonavi!O$3)*('Trabajo por tipo'!O26/'Trabajo por tipo'!O$30)+('datos prec. compr.'!CB$20+fonavi!O$3)*'Trabajo por tipo'!O$48/'Trabajo por tipo'!O$30*'Trabajo por tipo'!O44/'Trabajo por tipo'!O$48</f>
        <v>12194938954.967688</v>
      </c>
      <c r="AR15" s="457">
        <f>('datos prec. compr.'!CC$20+fonavi!P$3)*('Trabajo por tipo'!P26/'Trabajo por tipo'!P$30)+('datos prec. compr.'!CC$20+fonavi!P$3)*'Trabajo por tipo'!P$48/'Trabajo por tipo'!P$30*'Trabajo por tipo'!P44/'Trabajo por tipo'!P$48</f>
        <v>8001498602.3736181</v>
      </c>
      <c r="AS15" s="457">
        <f>('datos prec. compr.'!CD$20+fonavi!Q$3)*('Trabajo por tipo'!Q26/'Trabajo por tipo'!Q$30)+('datos prec. compr.'!CD$20+fonavi!Q$3)*'Trabajo por tipo'!Q$48/'Trabajo por tipo'!Q$30*'Trabajo por tipo'!Q44/'Trabajo por tipo'!Q$48</f>
        <v>1404406943.5396214</v>
      </c>
      <c r="AT15" s="455"/>
      <c r="AU15" s="470"/>
      <c r="AV15" s="455"/>
      <c r="AW15" s="455"/>
      <c r="AX15" s="455"/>
      <c r="AY15" s="455"/>
      <c r="AZ15" s="455"/>
      <c r="BA15" s="455"/>
      <c r="BB15" s="455"/>
      <c r="BC15" s="455"/>
      <c r="BD15" s="455"/>
      <c r="BE15" s="455"/>
      <c r="BF15" s="455"/>
      <c r="BG15" s="455"/>
      <c r="BH15" s="455"/>
      <c r="BI15" s="458"/>
      <c r="BJ15" s="458"/>
      <c r="BK15" s="455"/>
      <c r="BL15" s="455"/>
      <c r="BM15" s="455"/>
      <c r="BN15" s="459">
        <f>(+Parámetros!$B$3*'SAM macro'!$U$10)*'Trabajo por tipo'!L26/'Trabajo por tipo'!L$30</f>
        <v>-2786824355.6182466</v>
      </c>
      <c r="BO15" s="458"/>
      <c r="BP15" s="455">
        <f t="shared" si="2"/>
        <v>47369172947.804482</v>
      </c>
      <c r="BQ15" s="347">
        <v>45722414685.446365</v>
      </c>
      <c r="BR15" s="418">
        <f t="shared" si="3"/>
        <v>-1646758262.3581161</v>
      </c>
      <c r="BS15" s="644"/>
      <c r="BT15" s="644"/>
    </row>
    <row r="16" spans="1:72" ht="33.75" customHeight="1" x14ac:dyDescent="0.45">
      <c r="A16" s="432"/>
      <c r="C16" s="811"/>
      <c r="D16" s="821" t="s">
        <v>9</v>
      </c>
      <c r="E16" s="821"/>
      <c r="F16" s="821"/>
      <c r="G16" s="767">
        <f t="shared" si="4"/>
        <v>4</v>
      </c>
      <c r="H16" s="455"/>
      <c r="I16" s="455"/>
      <c r="J16" s="455"/>
      <c r="K16" s="455"/>
      <c r="L16" s="455"/>
      <c r="M16" s="455"/>
      <c r="N16" s="455"/>
      <c r="O16" s="456"/>
      <c r="P16" s="456"/>
      <c r="Q16" s="456"/>
      <c r="R16" s="456"/>
      <c r="S16" s="456"/>
      <c r="T16" s="456"/>
      <c r="U16" s="456"/>
      <c r="V16" s="455"/>
      <c r="W16" s="455"/>
      <c r="X16" s="455"/>
      <c r="Y16" s="455"/>
      <c r="Z16" s="455"/>
      <c r="AA16" s="455"/>
      <c r="AB16" s="455"/>
      <c r="AC16" s="455"/>
      <c r="AD16" s="455"/>
      <c r="AE16" s="457">
        <f>('datos prec. compr.'!BP$20+fonavi!C$3)*('Trabajo por tipo'!C27/'Trabajo por tipo'!C$30)+('datos prec. compr.'!BP$20+fonavi!C$3)*'Trabajo por tipo'!C$48/'Trabajo por tipo'!C$30*'Trabajo por tipo'!C45/'Trabajo por tipo'!C$48</f>
        <v>528448077.38130021</v>
      </c>
      <c r="AF16" s="457">
        <f>('datos prec. compr.'!BQ$20+fonavi!D$3)*('Trabajo por tipo'!D27/'Trabajo por tipo'!D$30)+('datos prec. compr.'!BQ$20+fonavi!D$3)*'Trabajo por tipo'!D$48/'Trabajo por tipo'!D$30*'Trabajo por tipo'!D45/'Trabajo por tipo'!D$48</f>
        <v>20754910.155468233</v>
      </c>
      <c r="AG16" s="457">
        <f>('datos prec. compr.'!BR$20+fonavi!E$3)*('Trabajo por tipo'!E27/'Trabajo por tipo'!E$30)+('datos prec. compr.'!BR$20+fonavi!E$3)*'Trabajo por tipo'!E$48/'Trabajo por tipo'!E$30*'Trabajo por tipo'!E45/'Trabajo por tipo'!E$48</f>
        <v>49499781.409831658</v>
      </c>
      <c r="AH16" s="457">
        <f>('datos prec. compr.'!BS$20+fonavi!F$3)*('Trabajo por tipo'!F27/'Trabajo por tipo'!F$30)+('datos prec. compr.'!BS$20+fonavi!F$3)*'Trabajo por tipo'!F$48/'Trabajo por tipo'!F$30*'Trabajo por tipo'!F45/'Trabajo por tipo'!F$48</f>
        <v>210261885.93217865</v>
      </c>
      <c r="AI16" s="457">
        <f>('datos prec. compr.'!BT$20+fonavi!G$3)*('Trabajo por tipo'!G27/'Trabajo por tipo'!G$30)+('datos prec. compr.'!BT$20+fonavi!G$3)*'Trabajo por tipo'!G$48/'Trabajo por tipo'!G$30*'Trabajo por tipo'!G45/'Trabajo por tipo'!G$48</f>
        <v>438821607.40757453</v>
      </c>
      <c r="AJ16" s="457">
        <f>('datos prec. compr.'!BU$20+fonavi!H$3)*('Trabajo por tipo'!H27/'Trabajo por tipo'!H$30)+('datos prec. compr.'!BU$20+fonavi!H$3)*'Trabajo por tipo'!H$48/'Trabajo por tipo'!H$30*'Trabajo por tipo'!H45/'Trabajo por tipo'!H$48</f>
        <v>919881858.06338143</v>
      </c>
      <c r="AK16" s="457">
        <f>('datos prec. compr.'!BV$20+fonavi!I$3)*('Trabajo por tipo'!I27/'Trabajo por tipo'!I$30)+('datos prec. compr.'!BV$20+fonavi!I$3)*'Trabajo por tipo'!I$48/'Trabajo por tipo'!I$30*'Trabajo por tipo'!I45/'Trabajo por tipo'!I$48</f>
        <v>400752703.72155344</v>
      </c>
      <c r="AL16" s="457">
        <f>('datos prec. compr.'!BW$20+fonavi!J$3)*('Trabajo por tipo'!J27/'Trabajo por tipo'!J$30)+('datos prec. compr.'!BW$20+fonavi!J$3)*'Trabajo por tipo'!J$48/'Trabajo por tipo'!J$30*'Trabajo por tipo'!J45/'Trabajo por tipo'!J$48</f>
        <v>1147862969.6453934</v>
      </c>
      <c r="AM16" s="457">
        <f>('datos prec. compr.'!BX$20+fonavi!K$3)*('Trabajo por tipo'!K27/'Trabajo por tipo'!K$30)+('datos prec. compr.'!BX$20+fonavi!K$3)*'Trabajo por tipo'!K$48/'Trabajo por tipo'!K$30*'Trabajo por tipo'!K45/'Trabajo por tipo'!K$48</f>
        <v>5183779594.8327236</v>
      </c>
      <c r="AN16" s="457">
        <f>('datos prec. compr.'!BY$20+fonavi!L$3)*('Trabajo por tipo'!L27/'Trabajo por tipo'!L$30)+('datos prec. compr.'!BY$20+fonavi!L$3)*'Trabajo por tipo'!L$48/'Trabajo por tipo'!L$30*'Trabajo por tipo'!L45/'Trabajo por tipo'!L$48</f>
        <v>2739976385.5364285</v>
      </c>
      <c r="AO16" s="457">
        <f>('datos prec. compr.'!BZ$20+fonavi!M$3)*('Trabajo por tipo'!M27/'Trabajo por tipo'!M$30)+('datos prec. compr.'!BZ$20+fonavi!M$3)*'Trabajo por tipo'!M$48/'Trabajo por tipo'!M$30*'Trabajo por tipo'!M45/'Trabajo por tipo'!M$48</f>
        <v>813030945.15699983</v>
      </c>
      <c r="AP16" s="457">
        <f>('datos prec. compr.'!CA$20+fonavi!N$3)*('Trabajo por tipo'!N27/'Trabajo por tipo'!N$30)+('datos prec. compr.'!CA$20+fonavi!N$3)*'Trabajo por tipo'!N$48/'Trabajo por tipo'!N$30*'Trabajo por tipo'!N45/'Trabajo por tipo'!N$48</f>
        <v>220359159.67532822</v>
      </c>
      <c r="AQ16" s="457">
        <f>('datos prec. compr.'!CB$20+fonavi!O$3)*('Trabajo por tipo'!O27/'Trabajo por tipo'!O$30)+('datos prec. compr.'!CB$20+fonavi!O$3)*'Trabajo por tipo'!O$48/'Trabajo por tipo'!O$30*'Trabajo por tipo'!O45/'Trabajo por tipo'!O$48</f>
        <v>0</v>
      </c>
      <c r="AR16" s="457">
        <f>('datos prec. compr.'!CC$20+fonavi!P$3)*('Trabajo por tipo'!P27/'Trabajo por tipo'!P$30)+('datos prec. compr.'!CC$20+fonavi!P$3)*'Trabajo por tipo'!P$48/'Trabajo por tipo'!P$30*'Trabajo por tipo'!P45/'Trabajo por tipo'!P$48</f>
        <v>5471543885.1059093</v>
      </c>
      <c r="AS16" s="457">
        <f>('datos prec. compr.'!CD$20+fonavi!Q$3)*('Trabajo por tipo'!Q27/'Trabajo por tipo'!Q$30)+('datos prec. compr.'!CD$20+fonavi!Q$3)*'Trabajo por tipo'!Q$48/'Trabajo por tipo'!Q$30*'Trabajo por tipo'!Q45/'Trabajo por tipo'!Q$48</f>
        <v>1030972246.6991864</v>
      </c>
      <c r="AT16" s="455"/>
      <c r="AU16" s="470"/>
      <c r="AV16" s="455"/>
      <c r="AW16" s="455"/>
      <c r="AX16" s="455"/>
      <c r="AY16" s="455"/>
      <c r="AZ16" s="455"/>
      <c r="BA16" s="455"/>
      <c r="BB16" s="455"/>
      <c r="BC16" s="455"/>
      <c r="BD16" s="455"/>
      <c r="BE16" s="455"/>
      <c r="BF16" s="455"/>
      <c r="BG16" s="455"/>
      <c r="BH16" s="455"/>
      <c r="BI16" s="458"/>
      <c r="BJ16" s="458"/>
      <c r="BK16" s="455"/>
      <c r="BL16" s="455"/>
      <c r="BM16" s="455"/>
      <c r="BN16" s="459">
        <f>(+Parámetros!$B$3*'SAM macro'!$U$10)*'Trabajo por tipo'!L27/'Trabajo por tipo'!L$30</f>
        <v>-14056757.991222905</v>
      </c>
      <c r="BO16" s="458"/>
      <c r="BP16" s="455">
        <f t="shared" si="2"/>
        <v>19161889252.732037</v>
      </c>
      <c r="BQ16" s="347">
        <v>447334430.73813784</v>
      </c>
      <c r="BR16" s="418">
        <f t="shared" si="3"/>
        <v>-18714554821.9939</v>
      </c>
      <c r="BS16" s="644"/>
      <c r="BT16" s="644"/>
    </row>
    <row r="17" spans="1:76" ht="33.75" customHeight="1" x14ac:dyDescent="0.45">
      <c r="A17" s="432"/>
      <c r="C17" s="811"/>
      <c r="D17" s="821" t="s">
        <v>10</v>
      </c>
      <c r="E17" s="821"/>
      <c r="F17" s="821"/>
      <c r="G17" s="767">
        <f t="shared" si="4"/>
        <v>5</v>
      </c>
      <c r="H17" s="455"/>
      <c r="I17" s="455"/>
      <c r="J17" s="455"/>
      <c r="K17" s="455"/>
      <c r="L17" s="455"/>
      <c r="M17" s="455"/>
      <c r="N17" s="455"/>
      <c r="O17" s="456"/>
      <c r="P17" s="456"/>
      <c r="Q17" s="456"/>
      <c r="R17" s="456"/>
      <c r="S17" s="456"/>
      <c r="T17" s="456"/>
      <c r="U17" s="456"/>
      <c r="V17" s="455"/>
      <c r="W17" s="455"/>
      <c r="X17" s="455"/>
      <c r="Y17" s="455"/>
      <c r="Z17" s="455"/>
      <c r="AA17" s="455"/>
      <c r="AB17" s="455"/>
      <c r="AC17" s="455"/>
      <c r="AD17" s="455"/>
      <c r="AE17" s="457">
        <f>('datos prec. compr.'!BP$20+fonavi!C$3)*('Trabajo por tipo'!C28/'Trabajo por tipo'!C$30)+('datos prec. compr.'!BP$20+fonavi!C$3)*'Trabajo por tipo'!C$48/'Trabajo por tipo'!C$30*'Trabajo por tipo'!C46/'Trabajo por tipo'!C$48</f>
        <v>5798852515.8835459</v>
      </c>
      <c r="AF17" s="457">
        <f>('datos prec. compr.'!BQ$20+fonavi!D$3)*('Trabajo por tipo'!D28/'Trabajo por tipo'!D$30)+('datos prec. compr.'!BQ$20+fonavi!D$3)*'Trabajo por tipo'!D$48/'Trabajo por tipo'!D$30*'Trabajo por tipo'!D46/'Trabajo por tipo'!D$48</f>
        <v>29727033.446761727</v>
      </c>
      <c r="AG17" s="457">
        <f>('datos prec. compr.'!BR$20+fonavi!E$3)*('Trabajo por tipo'!E28/'Trabajo por tipo'!E$30)+('datos prec. compr.'!BR$20+fonavi!E$3)*'Trabajo por tipo'!E$48/'Trabajo por tipo'!E$30*'Trabajo por tipo'!E46/'Trabajo por tipo'!E$48</f>
        <v>283644183.37702322</v>
      </c>
      <c r="AH17" s="457">
        <f>('datos prec. compr.'!BS$20+fonavi!F$3)*('Trabajo por tipo'!F28/'Trabajo por tipo'!F$30)+('datos prec. compr.'!BS$20+fonavi!F$3)*'Trabajo por tipo'!F$48/'Trabajo por tipo'!F$30*'Trabajo por tipo'!F46/'Trabajo por tipo'!F$48</f>
        <v>66216885.233580559</v>
      </c>
      <c r="AI17" s="457">
        <f>('datos prec. compr.'!BT$20+fonavi!G$3)*('Trabajo por tipo'!G28/'Trabajo por tipo'!G$30)+('datos prec. compr.'!BT$20+fonavi!G$3)*'Trabajo por tipo'!G$48/'Trabajo por tipo'!G$30*'Trabajo por tipo'!G46/'Trabajo por tipo'!G$48</f>
        <v>86573466.872123212</v>
      </c>
      <c r="AJ17" s="457">
        <f>('datos prec. compr.'!BU$20+fonavi!H$3)*('Trabajo por tipo'!H28/'Trabajo por tipo'!H$30)+('datos prec. compr.'!BU$20+fonavi!H$3)*'Trabajo por tipo'!H$48/'Trabajo por tipo'!H$30*'Trabajo por tipo'!H46/'Trabajo por tipo'!H$48</f>
        <v>154133548.11825591</v>
      </c>
      <c r="AK17" s="457">
        <f>('datos prec. compr.'!BV$20+fonavi!I$3)*('Trabajo por tipo'!I28/'Trabajo por tipo'!I$30)+('datos prec. compr.'!BV$20+fonavi!I$3)*'Trabajo por tipo'!I$48/'Trabajo por tipo'!I$30*'Trabajo por tipo'!I46/'Trabajo por tipo'!I$48</f>
        <v>6870610.2059473228</v>
      </c>
      <c r="AL17" s="457">
        <f>('datos prec. compr.'!BW$20+fonavi!J$3)*('Trabajo por tipo'!J28/'Trabajo por tipo'!J$30)+('datos prec. compr.'!BW$20+fonavi!J$3)*'Trabajo por tipo'!J$48/'Trabajo por tipo'!J$30*'Trabajo por tipo'!J46/'Trabajo por tipo'!J$48</f>
        <v>169913357.29326767</v>
      </c>
      <c r="AM17" s="457">
        <f>('datos prec. compr.'!BX$20+fonavi!K$3)*('Trabajo por tipo'!K28/'Trabajo por tipo'!K$30)+('datos prec. compr.'!BX$20+fonavi!K$3)*'Trabajo por tipo'!K$48/'Trabajo por tipo'!K$30*'Trabajo por tipo'!K46/'Trabajo por tipo'!K$48</f>
        <v>684616276.62113118</v>
      </c>
      <c r="AN17" s="457">
        <f>('datos prec. compr.'!BY$20+fonavi!L$3)*('Trabajo por tipo'!L28/'Trabajo por tipo'!L$30)+('datos prec. compr.'!BY$20+fonavi!L$3)*'Trabajo por tipo'!L$48/'Trabajo por tipo'!L$30*'Trabajo por tipo'!L46/'Trabajo por tipo'!L$48</f>
        <v>213857400.66220441</v>
      </c>
      <c r="AO17" s="457">
        <f>('datos prec. compr.'!BZ$20+fonavi!M$3)*('Trabajo por tipo'!M28/'Trabajo por tipo'!M$30)+('datos prec. compr.'!BZ$20+fonavi!M$3)*'Trabajo por tipo'!M$48/'Trabajo por tipo'!M$30*'Trabajo por tipo'!M46/'Trabajo por tipo'!M$48</f>
        <v>13748744.430284804</v>
      </c>
      <c r="AP17" s="457">
        <f>('datos prec. compr.'!CA$20+fonavi!N$3)*('Trabajo por tipo'!N28/'Trabajo por tipo'!N$30)+('datos prec. compr.'!CA$20+fonavi!N$3)*'Trabajo por tipo'!N$48/'Trabajo por tipo'!N$30*'Trabajo por tipo'!N46/'Trabajo por tipo'!N$48</f>
        <v>106152.6680061942</v>
      </c>
      <c r="AQ17" s="457">
        <f>('datos prec. compr.'!CB$20+fonavi!O$3)*('Trabajo por tipo'!O28/'Trabajo por tipo'!O$30)+('datos prec. compr.'!CB$20+fonavi!O$3)*'Trabajo por tipo'!O$48/'Trabajo por tipo'!O$30*'Trabajo por tipo'!O46/'Trabajo por tipo'!O$48</f>
        <v>231461711.33632022</v>
      </c>
      <c r="AR17" s="457">
        <f>('datos prec. compr.'!CC$20+fonavi!P$3)*('Trabajo por tipo'!P28/'Trabajo por tipo'!P$30)+('datos prec. compr.'!CC$20+fonavi!P$3)*'Trabajo por tipo'!P$48/'Trabajo por tipo'!P$30*'Trabajo por tipo'!P46/'Trabajo por tipo'!P$48</f>
        <v>104309881.31373373</v>
      </c>
      <c r="AS17" s="457">
        <f>('datos prec. compr.'!CD$20+fonavi!Q$3)*('Trabajo por tipo'!Q28/'Trabajo por tipo'!Q$30)+('datos prec. compr.'!CD$20+fonavi!Q$3)*'Trabajo por tipo'!Q$48/'Trabajo por tipo'!Q$30*'Trabajo por tipo'!Q46/'Trabajo por tipo'!Q$48</f>
        <v>231587998.26912999</v>
      </c>
      <c r="AT17" s="455"/>
      <c r="AU17" s="470"/>
      <c r="AV17" s="455"/>
      <c r="AW17" s="455"/>
      <c r="AX17" s="455"/>
      <c r="AY17" s="455"/>
      <c r="AZ17" s="455"/>
      <c r="BA17" s="455"/>
      <c r="BB17" s="455"/>
      <c r="BC17" s="455"/>
      <c r="BD17" s="455"/>
      <c r="BE17" s="455"/>
      <c r="BF17" s="455"/>
      <c r="BG17" s="455"/>
      <c r="BH17" s="455"/>
      <c r="BI17" s="458"/>
      <c r="BJ17" s="458"/>
      <c r="BK17" s="455"/>
      <c r="BL17" s="455"/>
      <c r="BM17" s="455"/>
      <c r="BN17" s="459">
        <f>(+Parámetros!$B$3*'SAM macro'!$U$10)*'Trabajo por tipo'!L28/'Trabajo por tipo'!L$30</f>
        <v>-56070463.889368802</v>
      </c>
      <c r="BO17" s="458"/>
      <c r="BP17" s="455">
        <f t="shared" si="2"/>
        <v>8019549301.8419447</v>
      </c>
      <c r="BQ17" s="347">
        <v>2322869131.7736988</v>
      </c>
      <c r="BR17" s="418">
        <f t="shared" si="3"/>
        <v>-5696680170.0682459</v>
      </c>
      <c r="BS17" s="644"/>
      <c r="BT17" s="644"/>
    </row>
    <row r="18" spans="1:76" ht="33.75" customHeight="1" x14ac:dyDescent="0.45">
      <c r="A18" s="432"/>
      <c r="C18" s="811"/>
      <c r="D18" s="821" t="s">
        <v>11</v>
      </c>
      <c r="E18" s="821"/>
      <c r="F18" s="821"/>
      <c r="G18" s="767">
        <f t="shared" si="4"/>
        <v>6</v>
      </c>
      <c r="H18" s="455"/>
      <c r="I18" s="455"/>
      <c r="J18" s="455"/>
      <c r="K18" s="455"/>
      <c r="L18" s="455"/>
      <c r="M18" s="455"/>
      <c r="N18" s="455"/>
      <c r="O18" s="456"/>
      <c r="P18" s="456"/>
      <c r="Q18" s="456"/>
      <c r="R18" s="456"/>
      <c r="S18" s="456"/>
      <c r="T18" s="456"/>
      <c r="U18" s="456"/>
      <c r="V18" s="455"/>
      <c r="W18" s="455"/>
      <c r="X18" s="455"/>
      <c r="Y18" s="455"/>
      <c r="Z18" s="455"/>
      <c r="AA18" s="455"/>
      <c r="AB18" s="455"/>
      <c r="AC18" s="455"/>
      <c r="AD18" s="455"/>
      <c r="AE18" s="457">
        <f>('datos prec. compr.'!BP$20+fonavi!C$3)*('Trabajo por tipo'!C29/'Trabajo por tipo'!C$30)+('datos prec. compr.'!BP$20+fonavi!C$3)*'Trabajo por tipo'!C$48/'Trabajo por tipo'!C$30*'Trabajo por tipo'!C47/'Trabajo por tipo'!C$48</f>
        <v>1086760075.7057376</v>
      </c>
      <c r="AF18" s="457">
        <f>('datos prec. compr.'!BQ$20+fonavi!D$3)*('Trabajo por tipo'!D29/'Trabajo por tipo'!D$30)+('datos prec. compr.'!BQ$20+fonavi!D$3)*'Trabajo por tipo'!D$48/'Trabajo por tipo'!D$30*'Trabajo por tipo'!D47/'Trabajo por tipo'!D$48</f>
        <v>23542595.991408929</v>
      </c>
      <c r="AG18" s="457">
        <f>('datos prec. compr.'!BR$20+fonavi!E$3)*('Trabajo por tipo'!E29/'Trabajo por tipo'!E$30)+('datos prec. compr.'!BR$20+fonavi!E$3)*'Trabajo por tipo'!E$48/'Trabajo por tipo'!E$30*'Trabajo por tipo'!E47/'Trabajo por tipo'!E$48</f>
        <v>200314078.29330873</v>
      </c>
      <c r="AH18" s="457">
        <f>('datos prec. compr.'!BS$20+fonavi!F$3)*('Trabajo por tipo'!F29/'Trabajo por tipo'!F$30)+('datos prec. compr.'!BS$20+fonavi!F$3)*'Trabajo por tipo'!F$48/'Trabajo por tipo'!F$30*'Trabajo por tipo'!F47/'Trabajo por tipo'!F$48</f>
        <v>93316118.907847762</v>
      </c>
      <c r="AI18" s="457">
        <f>('datos prec. compr.'!BT$20+fonavi!G$3)*('Trabajo por tipo'!G29/'Trabajo por tipo'!G$30)+('datos prec. compr.'!BT$20+fonavi!G$3)*'Trabajo por tipo'!G$48/'Trabajo por tipo'!G$30*'Trabajo por tipo'!G47/'Trabajo por tipo'!G$48</f>
        <v>29327368.236539066</v>
      </c>
      <c r="AJ18" s="457">
        <f>('datos prec. compr.'!BU$20+fonavi!H$3)*('Trabajo por tipo'!H29/'Trabajo por tipo'!H$30)+('datos prec. compr.'!BU$20+fonavi!H$3)*'Trabajo por tipo'!H$48/'Trabajo por tipo'!H$30*'Trabajo por tipo'!H47/'Trabajo por tipo'!H$48</f>
        <v>49364524.520662859</v>
      </c>
      <c r="AK18" s="457">
        <f>('datos prec. compr.'!BV$20+fonavi!I$3)*('Trabajo por tipo'!I29/'Trabajo por tipo'!I$30)+('datos prec. compr.'!BV$20+fonavi!I$3)*'Trabajo por tipo'!I$48/'Trabajo por tipo'!I$30*'Trabajo por tipo'!I47/'Trabajo por tipo'!I$48</f>
        <v>1101328.4021709929</v>
      </c>
      <c r="AL18" s="457">
        <f>('datos prec. compr.'!BW$20+fonavi!J$3)*('Trabajo por tipo'!J29/'Trabajo por tipo'!J$30)+('datos prec. compr.'!BW$20+fonavi!J$3)*'Trabajo por tipo'!J$48/'Trabajo por tipo'!J$30*'Trabajo por tipo'!J47/'Trabajo por tipo'!J$48</f>
        <v>87617484.257873565</v>
      </c>
      <c r="AM18" s="457">
        <f>('datos prec. compr.'!BX$20+fonavi!K$3)*('Trabajo por tipo'!K29/'Trabajo por tipo'!K$30)+('datos prec. compr.'!BX$20+fonavi!K$3)*'Trabajo por tipo'!K$48/'Trabajo por tipo'!K$30*'Trabajo por tipo'!K47/'Trabajo por tipo'!K$48</f>
        <v>365995642.36579394</v>
      </c>
      <c r="AN18" s="457">
        <f>('datos prec. compr.'!BY$20+fonavi!L$3)*('Trabajo por tipo'!L29/'Trabajo por tipo'!L$30)+('datos prec. compr.'!BY$20+fonavi!L$3)*'Trabajo por tipo'!L$48/'Trabajo por tipo'!L$30*'Trabajo por tipo'!L47/'Trabajo por tipo'!L$48</f>
        <v>257424638.54743403</v>
      </c>
      <c r="AO18" s="457">
        <f>('datos prec. compr.'!BZ$20+fonavi!M$3)*('Trabajo por tipo'!M29/'Trabajo por tipo'!M$30)+('datos prec. compr.'!BZ$20+fonavi!M$3)*'Trabajo por tipo'!M$48/'Trabajo por tipo'!M$30*'Trabajo por tipo'!M47/'Trabajo por tipo'!M$48</f>
        <v>39136477.83098682</v>
      </c>
      <c r="AP18" s="457">
        <f>('datos prec. compr.'!CA$20+fonavi!N$3)*('Trabajo por tipo'!N29/'Trabajo por tipo'!N$30)+('datos prec. compr.'!CA$20+fonavi!N$3)*'Trabajo por tipo'!N$48/'Trabajo por tipo'!N$30*'Trabajo por tipo'!N47/'Trabajo por tipo'!N$48</f>
        <v>14892909.443472221</v>
      </c>
      <c r="AQ18" s="457">
        <f>('datos prec. compr.'!CB$20+fonavi!O$3)*('Trabajo por tipo'!O29/'Trabajo por tipo'!O$30)+('datos prec. compr.'!CB$20+fonavi!O$3)*'Trabajo por tipo'!O$48/'Trabajo por tipo'!O$30*'Trabajo por tipo'!O47/'Trabajo por tipo'!O$48</f>
        <v>1331720000.7309792</v>
      </c>
      <c r="AR18" s="457">
        <f>('datos prec. compr.'!CC$20+fonavi!P$3)*('Trabajo por tipo'!P29/'Trabajo por tipo'!P$30)+('datos prec. compr.'!CC$20+fonavi!P$3)*'Trabajo por tipo'!P$48/'Trabajo por tipo'!P$30*'Trabajo por tipo'!P47/'Trabajo por tipo'!P$48</f>
        <v>306468026.34205067</v>
      </c>
      <c r="AS18" s="457">
        <f>('datos prec. compr.'!CD$20+fonavi!Q$3)*('Trabajo por tipo'!Q29/'Trabajo por tipo'!Q$30)+('datos prec. compr.'!CD$20+fonavi!Q$3)*'Trabajo por tipo'!Q$48/'Trabajo por tipo'!Q$30*'Trabajo por tipo'!Q47/'Trabajo por tipo'!Q$48</f>
        <v>89253723.862432122</v>
      </c>
      <c r="AT18" s="455"/>
      <c r="AU18" s="470"/>
      <c r="AV18" s="455"/>
      <c r="AW18" s="455"/>
      <c r="AX18" s="455"/>
      <c r="AY18" s="455"/>
      <c r="AZ18" s="455"/>
      <c r="BA18" s="455"/>
      <c r="BB18" s="455"/>
      <c r="BC18" s="455"/>
      <c r="BD18" s="455"/>
      <c r="BE18" s="455"/>
      <c r="BF18" s="455"/>
      <c r="BG18" s="455"/>
      <c r="BH18" s="455"/>
      <c r="BI18" s="458"/>
      <c r="BJ18" s="458"/>
      <c r="BK18" s="455"/>
      <c r="BL18" s="455"/>
      <c r="BM18" s="455"/>
      <c r="BN18" s="459">
        <f>(+Parámetros!$B$3*'SAM macro'!$U$10)*'Trabajo por tipo'!L29/'Trabajo por tipo'!L$30</f>
        <v>-53983129.676114403</v>
      </c>
      <c r="BO18" s="458"/>
      <c r="BP18" s="455">
        <f t="shared" si="2"/>
        <v>3922251863.7625837</v>
      </c>
      <c r="BQ18" s="347">
        <v>2434640707.2772899</v>
      </c>
      <c r="BR18" s="418">
        <f t="shared" si="3"/>
        <v>-1487611156.4852939</v>
      </c>
      <c r="BS18" s="644"/>
      <c r="BT18" s="644"/>
    </row>
    <row r="19" spans="1:76" ht="33.75" customHeight="1" x14ac:dyDescent="0.45">
      <c r="A19" s="432"/>
      <c r="C19" s="812"/>
      <c r="D19" s="799" t="s">
        <v>409</v>
      </c>
      <c r="E19" s="799"/>
      <c r="F19" s="799"/>
      <c r="G19" s="767">
        <f t="shared" si="4"/>
        <v>7</v>
      </c>
      <c r="H19" s="455"/>
      <c r="I19" s="455"/>
      <c r="J19" s="455"/>
      <c r="K19" s="455"/>
      <c r="L19" s="455"/>
      <c r="M19" s="455"/>
      <c r="N19" s="455"/>
      <c r="O19" s="674"/>
      <c r="P19" s="456"/>
      <c r="Q19" s="456"/>
      <c r="R19" s="456"/>
      <c r="S19" s="456"/>
      <c r="T19" s="456"/>
      <c r="U19" s="456"/>
      <c r="V19" s="455"/>
      <c r="W19" s="455"/>
      <c r="X19" s="455"/>
      <c r="Y19" s="455"/>
      <c r="Z19" s="455"/>
      <c r="AA19" s="455"/>
      <c r="AB19" s="455"/>
      <c r="AC19" s="455"/>
      <c r="AD19" s="455"/>
      <c r="AE19" s="458">
        <f>+'datos prec. compr.'!BP19-SUM(MICROSAM!AE13:AE18)</f>
        <v>9636530971.524744</v>
      </c>
      <c r="AF19" s="458">
        <f>+'datos prec. compr.'!BQ19-SUM(MICROSAM!AF13:AF18)</f>
        <v>2688123668.6915712</v>
      </c>
      <c r="AG19" s="458">
        <f>+'datos prec. compr.'!BR19-SUM(MICROSAM!AG13:AG18)</f>
        <v>13048253059.355274</v>
      </c>
      <c r="AH19" s="458">
        <f>+'datos prec. compr.'!BS19-SUM(MICROSAM!AH13:AH18)</f>
        <v>6318528257.4187469</v>
      </c>
      <c r="AI19" s="458">
        <f>+'datos prec. compr.'!BT19-SUM(MICROSAM!AI13:AI18)</f>
        <v>3170969329.2490225</v>
      </c>
      <c r="AJ19" s="458">
        <f>+'datos prec. compr.'!BU19-SUM(MICROSAM!AJ13:AJ18)</f>
        <v>5238058149.0515966</v>
      </c>
      <c r="AK19" s="458">
        <f>+'datos prec. compr.'!BV19-SUM(MICROSAM!AK13:AK18)</f>
        <v>3722310511.3621411</v>
      </c>
      <c r="AL19" s="458">
        <f>+'datos prec. compr.'!BW19-SUM(MICROSAM!AL13:AL18)</f>
        <v>6268456334.3379126</v>
      </c>
      <c r="AM19" s="458">
        <f>+'datos prec. compr.'!BX19-SUM(MICROSAM!AM13:AM18)</f>
        <v>18506728059.146099</v>
      </c>
      <c r="AN19" s="458">
        <f>+'datos prec. compr.'!BY19-SUM(MICROSAM!AN13:AN18)</f>
        <v>9307171283.2578678</v>
      </c>
      <c r="AO19" s="458">
        <f>+'datos prec. compr.'!BZ19-SUM(MICROSAM!AO13:AO18)</f>
        <v>1188560524.4966722</v>
      </c>
      <c r="AP19" s="458">
        <f>+'datos prec. compr.'!CA19-SUM(MICROSAM!AP13:AP18)</f>
        <v>5665759892.2328644</v>
      </c>
      <c r="AQ19" s="458">
        <f>+'datos prec. compr.'!CB19-SUM(MICROSAM!AQ13:AQ18)</f>
        <v>98744848.129281998</v>
      </c>
      <c r="AR19" s="458">
        <f>+'datos prec. compr.'!CC19-SUM(MICROSAM!AR13:AR18)</f>
        <v>19618838629.668106</v>
      </c>
      <c r="AS19" s="458">
        <f>+'datos prec. compr.'!CD19-SUM(MICROSAM!AS13:AS18)</f>
        <v>12170021030.80061</v>
      </c>
      <c r="AT19" s="455"/>
      <c r="AU19" s="455"/>
      <c r="AV19" s="455"/>
      <c r="AW19" s="455"/>
      <c r="AX19" s="455"/>
      <c r="AY19" s="455"/>
      <c r="AZ19" s="455"/>
      <c r="BA19" s="455"/>
      <c r="BB19" s="455"/>
      <c r="BC19" s="455"/>
      <c r="BD19" s="455"/>
      <c r="BE19" s="455"/>
      <c r="BF19" s="455"/>
      <c r="BG19" s="455"/>
      <c r="BH19" s="455"/>
      <c r="BI19" s="458"/>
      <c r="BJ19" s="458"/>
      <c r="BK19" s="455"/>
      <c r="BL19" s="455"/>
      <c r="BM19" s="455"/>
      <c r="BN19" s="455">
        <f>+(1-Parámetros!B3)*+'SAM macro'!U10</f>
        <v>-7836213360.0506964</v>
      </c>
      <c r="BO19" s="458"/>
      <c r="BP19" s="455">
        <f t="shared" si="2"/>
        <v>108810841188.67184</v>
      </c>
      <c r="BQ19" s="347">
        <v>145753749181.60956</v>
      </c>
      <c r="BR19" s="418">
        <f t="shared" si="3"/>
        <v>36942907992.937714</v>
      </c>
      <c r="BS19" s="644"/>
      <c r="BT19" s="644"/>
    </row>
    <row r="20" spans="1:76" ht="60" customHeight="1" x14ac:dyDescent="0.45">
      <c r="A20" s="418"/>
      <c r="C20" s="822" t="s">
        <v>571</v>
      </c>
      <c r="D20" s="799" t="s">
        <v>572</v>
      </c>
      <c r="E20" s="799"/>
      <c r="F20" s="379" t="s">
        <v>669</v>
      </c>
      <c r="G20" s="767">
        <f t="shared" si="4"/>
        <v>8</v>
      </c>
      <c r="H20" s="460">
        <f>H$85*'Trabajo por tipo'!C3/'Trabajo por tipo'!C$10</f>
        <v>1969427815.4888983</v>
      </c>
      <c r="I20" s="460">
        <f>I$85*'Trabajo por tipo'!D3/'Trabajo por tipo'!D$10</f>
        <v>2675127602.7125316</v>
      </c>
      <c r="J20" s="460">
        <f>J$85*'Trabajo por tipo'!E3/'Trabajo por tipo'!E$10</f>
        <v>7442099303.0938187</v>
      </c>
      <c r="K20" s="460">
        <f>K$85*'Trabajo por tipo'!F3/'Trabajo por tipo'!F$10</f>
        <v>3344151495.9887528</v>
      </c>
      <c r="L20" s="460">
        <f>L$85*'Trabajo por tipo'!G3/'Trabajo por tipo'!G$10</f>
        <v>0</v>
      </c>
      <c r="M20" s="460">
        <f>M$85*'Trabajo por tipo'!H3/'Trabajo por tipo'!H$10</f>
        <v>0</v>
      </c>
      <c r="N20" s="674"/>
      <c r="O20" s="461">
        <f>'transferencias hogares'!$D$13*'transferencias hogares'!$D19*'transferencias hogares'!C$31</f>
        <v>126264517.16266385</v>
      </c>
      <c r="P20" s="461">
        <f>'transferencias hogares'!$D$13*'transferencias hogares'!$D19*'transferencias hogares'!D$31</f>
        <v>126264517.16266385</v>
      </c>
      <c r="Q20" s="461">
        <f>'transferencias hogares'!$D$13*'transferencias hogares'!$D19*'transferencias hogares'!E$31</f>
        <v>126264517.16266385</v>
      </c>
      <c r="R20" s="461">
        <f>'transferencias hogares'!$D$13*'transferencias hogares'!$D19*'transferencias hogares'!F$31</f>
        <v>126264517.16266385</v>
      </c>
      <c r="S20" s="461">
        <f>'transferencias hogares'!$D$13*'transferencias hogares'!$D19*'transferencias hogares'!G$31</f>
        <v>126264517.16266385</v>
      </c>
      <c r="T20" s="461">
        <f>'transferencias hogares'!$D$13*'transferencias hogares'!$D19*'transferencias hogares'!H$31</f>
        <v>94150869.204810739</v>
      </c>
      <c r="U20" s="461">
        <f>'transferencias hogares'!$D$13*'transferencias hogares'!$D19*'transferencias hogares'!I$31</f>
        <v>311644916.98186994</v>
      </c>
      <c r="V20" s="455">
        <f>+'utilidades distribuidas'!G51*(MICROSAM!O$73-O$34)-SUM(MICROSAM!H20:U20)-SUM(MICROSAM!W20:BO20)</f>
        <v>18723314304.015747</v>
      </c>
      <c r="W20" s="462">
        <f>+'SAM macro'!$L$11*'transferencias gobieno'!D19</f>
        <v>1351168107.1898527</v>
      </c>
      <c r="X20" s="462">
        <f>+'transferencias gobieno'!G19*$W$29</f>
        <v>1190126589.3348351</v>
      </c>
      <c r="Y20" s="462">
        <f>+'transferencias gobieno'!H19*$W$30</f>
        <v>649777760.91895175</v>
      </c>
      <c r="Z20" s="462">
        <f>+'transferencias gobieno'!I19*$W$31</f>
        <v>238589299.29639387</v>
      </c>
      <c r="AA20" s="458"/>
      <c r="AB20" s="458"/>
      <c r="AC20" s="455"/>
      <c r="AD20" s="455"/>
      <c r="AE20" s="455"/>
      <c r="AF20" s="455"/>
      <c r="AG20" s="455"/>
      <c r="AH20" s="455"/>
      <c r="AI20" s="455"/>
      <c r="AJ20" s="455"/>
      <c r="AK20" s="455"/>
      <c r="AL20" s="455"/>
      <c r="AM20" s="455"/>
      <c r="AN20" s="455"/>
      <c r="AO20" s="455"/>
      <c r="AP20" s="455"/>
      <c r="AQ20" s="455"/>
      <c r="AR20" s="455"/>
      <c r="AS20" s="455"/>
      <c r="AT20" s="455"/>
      <c r="AU20" s="455"/>
      <c r="AV20" s="455"/>
      <c r="AW20" s="455"/>
      <c r="AX20" s="455"/>
      <c r="AY20" s="455"/>
      <c r="AZ20" s="455"/>
      <c r="BA20" s="455"/>
      <c r="BB20" s="455"/>
      <c r="BC20" s="455"/>
      <c r="BD20" s="455"/>
      <c r="BE20" s="455"/>
      <c r="BF20" s="455"/>
      <c r="BG20" s="455"/>
      <c r="BH20" s="455"/>
      <c r="BI20" s="458"/>
      <c r="BJ20" s="458"/>
      <c r="BK20" s="455"/>
      <c r="BL20" s="455"/>
      <c r="BM20" s="455"/>
      <c r="BN20" s="463">
        <f>'transferencias hogares'!E19*'SAM macro'!$U$11</f>
        <v>651817982.39751506</v>
      </c>
      <c r="BO20" s="458"/>
      <c r="BP20" s="455">
        <f t="shared" si="2"/>
        <v>39272718632.437294</v>
      </c>
      <c r="BQ20" s="347">
        <v>28587234838.949261</v>
      </c>
      <c r="BR20" s="418">
        <f t="shared" si="3"/>
        <v>-10685483793.488033</v>
      </c>
      <c r="BS20" s="644"/>
      <c r="BT20" s="644"/>
    </row>
    <row r="21" spans="1:76" ht="60" customHeight="1" x14ac:dyDescent="0.45">
      <c r="A21" s="418"/>
      <c r="C21" s="822"/>
      <c r="D21" s="799"/>
      <c r="E21" s="799"/>
      <c r="F21" s="379" t="s">
        <v>670</v>
      </c>
      <c r="G21" s="767">
        <f t="shared" si="4"/>
        <v>9</v>
      </c>
      <c r="H21" s="460">
        <f>H$85*'Trabajo por tipo'!C4/'Trabajo por tipo'!C$10</f>
        <v>0</v>
      </c>
      <c r="I21" s="460">
        <f>I$85*'Trabajo por tipo'!D4/'Trabajo por tipo'!D$10</f>
        <v>0</v>
      </c>
      <c r="J21" s="460">
        <f>J$85*'Trabajo por tipo'!E4/'Trabajo por tipo'!E$10</f>
        <v>0</v>
      </c>
      <c r="K21" s="460">
        <f>K$85*'Trabajo por tipo'!F4/'Trabajo por tipo'!F$10</f>
        <v>0</v>
      </c>
      <c r="L21" s="460">
        <f>L$85*'Trabajo por tipo'!G4/'Trabajo por tipo'!G$10</f>
        <v>1627342570.5086765</v>
      </c>
      <c r="M21" s="460">
        <f>M$85*'Trabajo por tipo'!H4/'Trabajo por tipo'!H$10</f>
        <v>1069207671.1513797</v>
      </c>
      <c r="N21" s="674"/>
      <c r="O21" s="461">
        <f>'transferencias hogares'!$D$13*'transferencias hogares'!$D20*'transferencias hogares'!C$31</f>
        <v>18482524.139095508</v>
      </c>
      <c r="P21" s="461">
        <f>'transferencias hogares'!$D$13*'transferencias hogares'!$D20*'transferencias hogares'!D$31</f>
        <v>18482524.139095508</v>
      </c>
      <c r="Q21" s="461">
        <f>'transferencias hogares'!$D$13*'transferencias hogares'!$D20*'transferencias hogares'!E$31</f>
        <v>18482524.139095508</v>
      </c>
      <c r="R21" s="461">
        <f>'transferencias hogares'!$D$13*'transferencias hogares'!$D20*'transferencias hogares'!F$31</f>
        <v>18482524.139095508</v>
      </c>
      <c r="S21" s="461">
        <f>'transferencias hogares'!$D$13*'transferencias hogares'!$D20*'transferencias hogares'!G$31</f>
        <v>18482524.139095508</v>
      </c>
      <c r="T21" s="461">
        <f>'transferencias hogares'!$D$13*'transferencias hogares'!$D20*'transferencias hogares'!H$31</f>
        <v>13781747.650869694</v>
      </c>
      <c r="U21" s="461">
        <f>'transferencias hogares'!$D$13*'transferencias hogares'!$D20*'transferencias hogares'!I$31</f>
        <v>45618395.65365275</v>
      </c>
      <c r="V21" s="455">
        <f>+'utilidades distribuidas'!G52*(MICROSAM!P$73-P$34)-SUM(MICROSAM!H21:U21)-SUM(MICROSAM!W21:BO21)</f>
        <v>2571539811.2177806</v>
      </c>
      <c r="W21" s="462">
        <f>+'SAM macro'!$L$11*'transferencias gobieno'!D20</f>
        <v>497682050.047122</v>
      </c>
      <c r="X21" s="462">
        <f>+'transferencias gobieno'!G20*$W$29</f>
        <v>386726019.73525208</v>
      </c>
      <c r="Y21" s="462">
        <f>+'transferencias gobieno'!H20*$W$30</f>
        <v>111669711.46343032</v>
      </c>
      <c r="Z21" s="462">
        <f>+'transferencias gobieno'!I20*$W$31</f>
        <v>225939603.78900945</v>
      </c>
      <c r="AA21" s="458"/>
      <c r="AB21" s="458"/>
      <c r="AC21" s="455"/>
      <c r="AD21" s="455"/>
      <c r="AE21" s="455"/>
      <c r="AF21" s="455"/>
      <c r="AG21" s="455"/>
      <c r="AH21" s="455"/>
      <c r="AI21" s="455"/>
      <c r="AJ21" s="455"/>
      <c r="AK21" s="455"/>
      <c r="AL21" s="455"/>
      <c r="AM21" s="455"/>
      <c r="AN21" s="455"/>
      <c r="AO21" s="455"/>
      <c r="AP21" s="455"/>
      <c r="AQ21" s="455"/>
      <c r="AR21" s="455"/>
      <c r="AS21" s="455"/>
      <c r="AT21" s="455"/>
      <c r="AU21" s="455"/>
      <c r="AV21" s="455"/>
      <c r="AW21" s="455"/>
      <c r="AX21" s="455"/>
      <c r="AY21" s="455"/>
      <c r="AZ21" s="455"/>
      <c r="BA21" s="455"/>
      <c r="BB21" s="455"/>
      <c r="BC21" s="455"/>
      <c r="BD21" s="455"/>
      <c r="BE21" s="455"/>
      <c r="BF21" s="455"/>
      <c r="BG21" s="455"/>
      <c r="BH21" s="455"/>
      <c r="BI21" s="458"/>
      <c r="BJ21" s="458"/>
      <c r="BK21" s="455"/>
      <c r="BL21" s="455"/>
      <c r="BM21" s="455"/>
      <c r="BN21" s="463">
        <f>'transferencias hogares'!E20*'SAM macro'!$U$11</f>
        <v>40187503.984794177</v>
      </c>
      <c r="BO21" s="458"/>
      <c r="BP21" s="455">
        <f t="shared" si="2"/>
        <v>6682107705.8974447</v>
      </c>
      <c r="BQ21" s="347">
        <v>6320121287.4865417</v>
      </c>
      <c r="BR21" s="418">
        <f t="shared" si="3"/>
        <v>-361986418.41090298</v>
      </c>
      <c r="BS21" s="644"/>
      <c r="BT21" s="644"/>
    </row>
    <row r="22" spans="1:76" ht="60" customHeight="1" x14ac:dyDescent="0.45">
      <c r="A22" s="418"/>
      <c r="C22" s="822"/>
      <c r="D22" s="799"/>
      <c r="E22" s="799"/>
      <c r="F22" s="379" t="s">
        <v>675</v>
      </c>
      <c r="G22" s="767">
        <f t="shared" si="4"/>
        <v>10</v>
      </c>
      <c r="H22" s="460">
        <f>H$85*'Trabajo por tipo'!C5/'Trabajo por tipo'!C$10</f>
        <v>820072814.63099313</v>
      </c>
      <c r="I22" s="460">
        <f>I$85*'Trabajo por tipo'!D5/'Trabajo por tipo'!D$10</f>
        <v>1742602435.529758</v>
      </c>
      <c r="J22" s="460">
        <f>J$85*'Trabajo por tipo'!E5/'Trabajo por tipo'!E$10</f>
        <v>6283359247.7524834</v>
      </c>
      <c r="K22" s="460">
        <f>K$85*'Trabajo por tipo'!F5/'Trabajo por tipo'!F$10</f>
        <v>2378571993.1828566</v>
      </c>
      <c r="L22" s="460">
        <f>L$85*'Trabajo por tipo'!G5/'Trabajo por tipo'!G$10</f>
        <v>0</v>
      </c>
      <c r="M22" s="460">
        <f>M$85*'Trabajo por tipo'!H5/'Trabajo por tipo'!H$10</f>
        <v>0</v>
      </c>
      <c r="N22" s="674"/>
      <c r="O22" s="461">
        <f>'transferencias hogares'!$D$13*'transferencias hogares'!$D21*'transferencias hogares'!C$31</f>
        <v>79779186.532659799</v>
      </c>
      <c r="P22" s="461">
        <f>'transferencias hogares'!$D$13*'transferencias hogares'!$D21*'transferencias hogares'!D$31</f>
        <v>79779186.532659799</v>
      </c>
      <c r="Q22" s="461">
        <f>'transferencias hogares'!$D$13*'transferencias hogares'!$D21*'transferencias hogares'!E$31</f>
        <v>79779186.532659799</v>
      </c>
      <c r="R22" s="461">
        <f>'transferencias hogares'!$D$13*'transferencias hogares'!$D21*'transferencias hogares'!F$31</f>
        <v>79779186.532659799</v>
      </c>
      <c r="S22" s="461">
        <f>'transferencias hogares'!$D$13*'transferencias hogares'!$D21*'transferencias hogares'!G$31</f>
        <v>79779186.532659799</v>
      </c>
      <c r="T22" s="461">
        <f>'transferencias hogares'!$D$13*'transferencias hogares'!$D21*'transferencias hogares'!H$31</f>
        <v>59488444.776817486</v>
      </c>
      <c r="U22" s="461">
        <f>'transferencias hogares'!$D$13*'transferencias hogares'!$D21*'transferencias hogares'!I$31</f>
        <v>196910252.55988348</v>
      </c>
      <c r="V22" s="455">
        <f>+'utilidades distribuidas'!G53*(MICROSAM!Q$73-Q$34)-SUM(MICROSAM!H22:U22)-SUM(MICROSAM!W22:BO22)</f>
        <v>15762622670.973085</v>
      </c>
      <c r="W22" s="462">
        <f>+'SAM macro'!$L$11*'transferencias gobieno'!D21</f>
        <v>446194044.22422391</v>
      </c>
      <c r="X22" s="462">
        <f>+'transferencias gobieno'!G21*$W$29</f>
        <v>992819100.49789834</v>
      </c>
      <c r="Y22" s="462">
        <f>+'transferencias gobieno'!H21*$W$30</f>
        <v>389033117.8578248</v>
      </c>
      <c r="Z22" s="462">
        <f>+'transferencias gobieno'!I21*$W$31</f>
        <v>93205413.935484603</v>
      </c>
      <c r="AA22" s="458"/>
      <c r="AB22" s="458"/>
      <c r="AC22" s="455"/>
      <c r="AD22" s="455"/>
      <c r="AE22" s="455"/>
      <c r="AF22" s="455"/>
      <c r="AG22" s="455"/>
      <c r="AH22" s="455"/>
      <c r="AI22" s="455"/>
      <c r="AJ22" s="455"/>
      <c r="AK22" s="455"/>
      <c r="AL22" s="455"/>
      <c r="AM22" s="455"/>
      <c r="AN22" s="455"/>
      <c r="AO22" s="455"/>
      <c r="AP22" s="455"/>
      <c r="AQ22" s="455"/>
      <c r="AR22" s="455"/>
      <c r="AS22" s="455"/>
      <c r="AT22" s="455"/>
      <c r="AU22" s="455"/>
      <c r="AV22" s="455"/>
      <c r="AW22" s="455"/>
      <c r="AX22" s="455"/>
      <c r="AY22" s="455"/>
      <c r="AZ22" s="455"/>
      <c r="BA22" s="455"/>
      <c r="BB22" s="455"/>
      <c r="BC22" s="455"/>
      <c r="BD22" s="455"/>
      <c r="BE22" s="455"/>
      <c r="BF22" s="455"/>
      <c r="BG22" s="455"/>
      <c r="BH22" s="455"/>
      <c r="BI22" s="458"/>
      <c r="BJ22" s="458"/>
      <c r="BK22" s="455"/>
      <c r="BL22" s="455"/>
      <c r="BM22" s="455"/>
      <c r="BN22" s="463">
        <f>'transferencias hogares'!E21*'SAM macro'!$U$11</f>
        <v>79022707.345658407</v>
      </c>
      <c r="BO22" s="458"/>
      <c r="BP22" s="455">
        <f t="shared" si="2"/>
        <v>29642798175.930267</v>
      </c>
      <c r="BQ22" s="347">
        <v>19194747646.122314</v>
      </c>
      <c r="BR22" s="418">
        <f t="shared" si="3"/>
        <v>-10448050529.807953</v>
      </c>
      <c r="BS22" s="644"/>
      <c r="BT22" s="644"/>
    </row>
    <row r="23" spans="1:76" ht="60" customHeight="1" x14ac:dyDescent="0.45">
      <c r="A23" s="418"/>
      <c r="C23" s="822"/>
      <c r="D23" s="799"/>
      <c r="E23" s="799"/>
      <c r="F23" s="379" t="s">
        <v>671</v>
      </c>
      <c r="G23" s="767">
        <f t="shared" si="4"/>
        <v>11</v>
      </c>
      <c r="H23" s="460">
        <f>H$85*'Trabajo por tipo'!C6/'Trabajo por tipo'!C$10</f>
        <v>0</v>
      </c>
      <c r="I23" s="460">
        <f>I$85*'Trabajo por tipo'!D6/'Trabajo por tipo'!D$10</f>
        <v>0</v>
      </c>
      <c r="J23" s="460">
        <f>J$85*'Trabajo por tipo'!E6/'Trabajo por tipo'!E$10</f>
        <v>0</v>
      </c>
      <c r="K23" s="460">
        <f>K$85*'Trabajo por tipo'!F6/'Trabajo por tipo'!F$10</f>
        <v>0</v>
      </c>
      <c r="L23" s="460">
        <f>L$85*'Trabajo por tipo'!G6/'Trabajo por tipo'!G$10</f>
        <v>4656063574.9026442</v>
      </c>
      <c r="M23" s="460">
        <f>M$85*'Trabajo por tipo'!H6/'Trabajo por tipo'!H$10</f>
        <v>2218817919.3119249</v>
      </c>
      <c r="N23" s="674"/>
      <c r="O23" s="461">
        <f>'transferencias hogares'!$D$13*'transferencias hogares'!$D22*'transferencias hogares'!C$31</f>
        <v>51194323.955629401</v>
      </c>
      <c r="P23" s="461">
        <f>'transferencias hogares'!$D$13*'transferencias hogares'!$D22*'transferencias hogares'!D$31</f>
        <v>51194323.955629401</v>
      </c>
      <c r="Q23" s="461">
        <f>'transferencias hogares'!$D$13*'transferencias hogares'!$D22*'transferencias hogares'!E$31</f>
        <v>51194323.955629401</v>
      </c>
      <c r="R23" s="461">
        <f>'transferencias hogares'!$D$13*'transferencias hogares'!$D22*'transferencias hogares'!F$31</f>
        <v>51194323.955629401</v>
      </c>
      <c r="S23" s="461">
        <f>'transferencias hogares'!$D$13*'transferencias hogares'!$D22*'transferencias hogares'!G$31</f>
        <v>51194323.955629401</v>
      </c>
      <c r="T23" s="461">
        <f>'transferencias hogares'!$D$13*'transferencias hogares'!$D22*'transferencias hogares'!H$31</f>
        <v>38173749.894958094</v>
      </c>
      <c r="U23" s="461">
        <f>'transferencias hogares'!$D$13*'transferencias hogares'!$D22*'transferencias hogares'!I$31</f>
        <v>126357358.32689485</v>
      </c>
      <c r="V23" s="455">
        <f>+'utilidades distribuidas'!G54*(MICROSAM!R$73-R$34)-SUM(MICROSAM!H23:U23)-SUM(MICROSAM!W23:BO23)</f>
        <v>6556864509.2166023</v>
      </c>
      <c r="W23" s="462">
        <f>+'SAM macro'!$L$11*'transferencias gobieno'!D22</f>
        <v>404118422.6925962</v>
      </c>
      <c r="X23" s="462">
        <f>+'transferencias gobieno'!G22*$W$29</f>
        <v>1930275820.4605875</v>
      </c>
      <c r="Y23" s="462">
        <f>+'transferencias gobieno'!H22*$W$30</f>
        <v>169620211.2136212</v>
      </c>
      <c r="Z23" s="462">
        <f>+'transferencias gobieno'!I22*$W$31</f>
        <v>513603875.70125949</v>
      </c>
      <c r="AA23" s="458"/>
      <c r="AB23" s="458"/>
      <c r="AC23" s="455"/>
      <c r="AD23" s="455"/>
      <c r="AE23" s="455"/>
      <c r="AF23" s="455"/>
      <c r="AG23" s="455"/>
      <c r="AH23" s="455"/>
      <c r="AI23" s="455"/>
      <c r="AJ23" s="455"/>
      <c r="AK23" s="455"/>
      <c r="AL23" s="455"/>
      <c r="AM23" s="455"/>
      <c r="AN23" s="455"/>
      <c r="AO23" s="455"/>
      <c r="AP23" s="455"/>
      <c r="AQ23" s="455"/>
      <c r="AR23" s="455"/>
      <c r="AS23" s="455"/>
      <c r="AT23" s="455"/>
      <c r="AU23" s="455"/>
      <c r="AV23" s="455"/>
      <c r="AW23" s="455"/>
      <c r="AX23" s="455"/>
      <c r="AY23" s="455"/>
      <c r="AZ23" s="455"/>
      <c r="BA23" s="455"/>
      <c r="BB23" s="455"/>
      <c r="BC23" s="455"/>
      <c r="BD23" s="455"/>
      <c r="BE23" s="455"/>
      <c r="BF23" s="455"/>
      <c r="BG23" s="455"/>
      <c r="BH23" s="455"/>
      <c r="BI23" s="458"/>
      <c r="BJ23" s="458"/>
      <c r="BK23" s="455"/>
      <c r="BL23" s="455"/>
      <c r="BM23" s="455"/>
      <c r="BN23" s="463">
        <f>'transferencias hogares'!E22*'SAM macro'!$U$11</f>
        <v>12057109.174598159</v>
      </c>
      <c r="BO23" s="458"/>
      <c r="BP23" s="455">
        <f t="shared" si="2"/>
        <v>16881924170.673834</v>
      </c>
      <c r="BQ23" s="347">
        <v>16174717126.02618</v>
      </c>
      <c r="BR23" s="418">
        <f t="shared" si="3"/>
        <v>-707207044.64765358</v>
      </c>
      <c r="BS23" s="644"/>
      <c r="BT23" s="644"/>
    </row>
    <row r="24" spans="1:76" ht="60" customHeight="1" x14ac:dyDescent="0.45">
      <c r="A24" s="418"/>
      <c r="C24" s="822"/>
      <c r="D24" s="799"/>
      <c r="E24" s="799"/>
      <c r="F24" s="379" t="s">
        <v>672</v>
      </c>
      <c r="G24" s="767">
        <f t="shared" si="4"/>
        <v>12</v>
      </c>
      <c r="H24" s="460">
        <f>H$85*'Trabajo por tipo'!C7/'Trabajo por tipo'!C$10</f>
        <v>471704712.68702394</v>
      </c>
      <c r="I24" s="460">
        <f>I$85*'Trabajo por tipo'!D7/'Trabajo por tipo'!D$10</f>
        <v>992945830.96965325</v>
      </c>
      <c r="J24" s="460">
        <f>J$85*'Trabajo por tipo'!E7/'Trabajo por tipo'!E$10</f>
        <v>2165952360.5715957</v>
      </c>
      <c r="K24" s="460">
        <f>K$85*'Trabajo por tipo'!F7/'Trabajo por tipo'!F$10</f>
        <v>849828622.84779108</v>
      </c>
      <c r="L24" s="460">
        <f>L$85*'Trabajo por tipo'!G7/'Trabajo por tipo'!G$10</f>
        <v>0</v>
      </c>
      <c r="M24" s="460">
        <f>M$85*'Trabajo por tipo'!H7/'Trabajo por tipo'!H$10</f>
        <v>0</v>
      </c>
      <c r="N24" s="674"/>
      <c r="O24" s="461">
        <f>'transferencias hogares'!$D$13*'transferencias hogares'!$D23*'transferencias hogares'!C$31</f>
        <v>22932624.395577956</v>
      </c>
      <c r="P24" s="461">
        <f>'transferencias hogares'!$D$13*'transferencias hogares'!$D23*'transferencias hogares'!D$31</f>
        <v>22932624.395577956</v>
      </c>
      <c r="Q24" s="461">
        <f>'transferencias hogares'!$D$13*'transferencias hogares'!$D23*'transferencias hogares'!E$31</f>
        <v>22932624.395577956</v>
      </c>
      <c r="R24" s="461">
        <f>'transferencias hogares'!$D$13*'transferencias hogares'!$D23*'transferencias hogares'!F$31</f>
        <v>22932624.395577956</v>
      </c>
      <c r="S24" s="461">
        <f>'transferencias hogares'!$D$13*'transferencias hogares'!$D23*'transferencias hogares'!G$31</f>
        <v>22932624.395577956</v>
      </c>
      <c r="T24" s="461">
        <f>'transferencias hogares'!$D$13*'transferencias hogares'!$D23*'transferencias hogares'!H$31</f>
        <v>17100025.949567102</v>
      </c>
      <c r="U24" s="461">
        <f>'transferencias hogares'!$D$13*'transferencias hogares'!$D23*'transferencias hogares'!I$31</f>
        <v>56602092.0725431</v>
      </c>
      <c r="V24" s="455">
        <f>+'utilidades distribuidas'!G55*(MICROSAM!S$73-S$34)-SUM(MICROSAM!H24:U24)-SUM(MICROSAM!W24:BO24)</f>
        <v>5860630349.5933857</v>
      </c>
      <c r="W24" s="462">
        <f>+'SAM macro'!$L$11*'transferencias gobieno'!D23</f>
        <v>273434474.87387359</v>
      </c>
      <c r="X24" s="462">
        <f>+'transferencias gobieno'!G23*$W$29</f>
        <v>376163832.91345394</v>
      </c>
      <c r="Y24" s="462">
        <f>+'transferencias gobieno'!H23*$W$30</f>
        <v>134955496.57709169</v>
      </c>
      <c r="Z24" s="462">
        <f>+'transferencias gobieno'!I23*$W$31</f>
        <v>76551072.863707483</v>
      </c>
      <c r="AA24" s="458"/>
      <c r="AB24" s="458"/>
      <c r="AC24" s="455"/>
      <c r="AD24" s="455"/>
      <c r="AE24" s="455"/>
      <c r="AF24" s="455"/>
      <c r="AG24" s="455"/>
      <c r="AH24" s="455"/>
      <c r="AI24" s="455"/>
      <c r="AJ24" s="455"/>
      <c r="AK24" s="455"/>
      <c r="AL24" s="455"/>
      <c r="AM24" s="455"/>
      <c r="AN24" s="455"/>
      <c r="AO24" s="455"/>
      <c r="AP24" s="455"/>
      <c r="AQ24" s="455"/>
      <c r="AR24" s="455"/>
      <c r="AS24" s="455"/>
      <c r="AT24" s="455"/>
      <c r="AU24" s="455"/>
      <c r="AV24" s="455"/>
      <c r="AW24" s="455"/>
      <c r="AX24" s="455"/>
      <c r="AY24" s="455"/>
      <c r="AZ24" s="455"/>
      <c r="BA24" s="455"/>
      <c r="BB24" s="455"/>
      <c r="BC24" s="455"/>
      <c r="BD24" s="455"/>
      <c r="BE24" s="455"/>
      <c r="BF24" s="455"/>
      <c r="BG24" s="455"/>
      <c r="BH24" s="455"/>
      <c r="BI24" s="458"/>
      <c r="BJ24" s="458"/>
      <c r="BK24" s="455"/>
      <c r="BL24" s="455"/>
      <c r="BM24" s="455"/>
      <c r="BN24" s="463">
        <f>'transferencias hogares'!E23*'SAM macro'!$U$11</f>
        <v>53230503.173665278</v>
      </c>
      <c r="BO24" s="458"/>
      <c r="BP24" s="455">
        <f t="shared" si="2"/>
        <v>11443762497.071243</v>
      </c>
      <c r="BQ24" s="347">
        <v>8143154634.3459206</v>
      </c>
      <c r="BR24" s="418">
        <f t="shared" si="3"/>
        <v>-3300607862.7253227</v>
      </c>
      <c r="BS24" s="644"/>
      <c r="BT24" s="644"/>
    </row>
    <row r="25" spans="1:76" ht="60" customHeight="1" x14ac:dyDescent="0.45">
      <c r="B25" s="348">
        <f>+SUM(H20:M26)</f>
        <v>93682402152.970047</v>
      </c>
      <c r="C25" s="822"/>
      <c r="D25" s="799"/>
      <c r="E25" s="799"/>
      <c r="F25" s="379" t="s">
        <v>673</v>
      </c>
      <c r="G25" s="767">
        <f t="shared" si="4"/>
        <v>13</v>
      </c>
      <c r="H25" s="460">
        <f>H$85*'Trabajo por tipo'!C8/'Trabajo por tipo'!C$10</f>
        <v>0</v>
      </c>
      <c r="I25" s="460">
        <f>I$85*'Trabajo por tipo'!D8/'Trabajo por tipo'!D$10</f>
        <v>0</v>
      </c>
      <c r="J25" s="460">
        <f>J$85*'Trabajo por tipo'!E8/'Trabajo por tipo'!E$10</f>
        <v>0</v>
      </c>
      <c r="K25" s="460">
        <f>K$85*'Trabajo por tipo'!F8/'Trabajo por tipo'!F$10</f>
        <v>0</v>
      </c>
      <c r="L25" s="460">
        <f>L$85*'Trabajo por tipo'!G8/'Trabajo por tipo'!G$10</f>
        <v>1736143156.4306238</v>
      </c>
      <c r="M25" s="460">
        <f>M$85*'Trabajo por tipo'!H8/'Trabajo por tipo'!H$10</f>
        <v>634226273.29927862</v>
      </c>
      <c r="N25" s="674"/>
      <c r="O25" s="461">
        <f>'transferencias hogares'!$D$13*'transferencias hogares'!$D24*'transferencias hogares'!C$31</f>
        <v>9944154.4817167725</v>
      </c>
      <c r="P25" s="461">
        <f>'transferencias hogares'!$D$13*'transferencias hogares'!$D24*'transferencias hogares'!D$31</f>
        <v>9944154.4817167725</v>
      </c>
      <c r="Q25" s="461">
        <f>'transferencias hogares'!$D$13*'transferencias hogares'!$D24*'transferencias hogares'!E$31</f>
        <v>9944154.4817167725</v>
      </c>
      <c r="R25" s="461">
        <f>'transferencias hogares'!$D$13*'transferencias hogares'!$D24*'transferencias hogares'!F$31</f>
        <v>9944154.4817167725</v>
      </c>
      <c r="S25" s="461">
        <f>'transferencias hogares'!$D$13*'transferencias hogares'!$D24*'transferencias hogares'!G$31</f>
        <v>9944154.4817167725</v>
      </c>
      <c r="T25" s="461">
        <f>'transferencias hogares'!$D$13*'transferencias hogares'!$D24*'transferencias hogares'!H$31</f>
        <v>7414995.1942111878</v>
      </c>
      <c r="U25" s="461">
        <f>'transferencias hogares'!$D$13*'transferencias hogares'!$D24*'transferencias hogares'!I$31</f>
        <v>24544070.397204943</v>
      </c>
      <c r="V25" s="455">
        <f>+'utilidades distribuidas'!G56*(MICROSAM!T$73-T$34)-SUM(MICROSAM!H25:U25)-SUM(MICROSAM!W25:BO25)</f>
        <v>2476324210.7409506</v>
      </c>
      <c r="W25" s="462">
        <f>+'SAM macro'!$L$11*'transferencias gobieno'!D24</f>
        <v>115579875.17821831</v>
      </c>
      <c r="X25" s="462">
        <f>+'transferencias gobieno'!G24*$W$29</f>
        <v>483805979.47973776</v>
      </c>
      <c r="Y25" s="462">
        <f>+'transferencias gobieno'!H24*$W$30</f>
        <v>81970165.604633987</v>
      </c>
      <c r="Z25" s="462">
        <f>+'transferencias gobieno'!I24*$W$31</f>
        <v>150911836.64070103</v>
      </c>
      <c r="AA25" s="458"/>
      <c r="AB25" s="458"/>
      <c r="AC25" s="455"/>
      <c r="AD25" s="455"/>
      <c r="AE25" s="455"/>
      <c r="AF25" s="455"/>
      <c r="AG25" s="455"/>
      <c r="AH25" s="455"/>
      <c r="AI25" s="455"/>
      <c r="AJ25" s="455"/>
      <c r="AK25" s="455"/>
      <c r="AL25" s="455"/>
      <c r="AM25" s="455"/>
      <c r="AN25" s="455"/>
      <c r="AO25" s="455"/>
      <c r="AP25" s="455"/>
      <c r="AQ25" s="455"/>
      <c r="AR25" s="455"/>
      <c r="AS25" s="455"/>
      <c r="AT25" s="455"/>
      <c r="AU25" s="455"/>
      <c r="AV25" s="455"/>
      <c r="AW25" s="455"/>
      <c r="AX25" s="455"/>
      <c r="AY25" s="455"/>
      <c r="AZ25" s="455"/>
      <c r="BA25" s="455"/>
      <c r="BB25" s="455"/>
      <c r="BC25" s="455"/>
      <c r="BD25" s="455"/>
      <c r="BE25" s="455"/>
      <c r="BF25" s="455"/>
      <c r="BG25" s="455"/>
      <c r="BH25" s="455"/>
      <c r="BI25" s="458"/>
      <c r="BJ25" s="458"/>
      <c r="BK25" s="455"/>
      <c r="BL25" s="455"/>
      <c r="BM25" s="455"/>
      <c r="BN25" s="463">
        <f>'transferencias hogares'!E24*'SAM macro'!$U$11</f>
        <v>3093935.5845763893</v>
      </c>
      <c r="BO25" s="458"/>
      <c r="BP25" s="455">
        <f t="shared" si="2"/>
        <v>5763735270.9587193</v>
      </c>
      <c r="BQ25" s="347">
        <v>5643864919.468997</v>
      </c>
      <c r="BR25" s="418">
        <f t="shared" si="3"/>
        <v>-119870351.48972225</v>
      </c>
      <c r="BS25" s="644"/>
      <c r="BT25" s="644"/>
    </row>
    <row r="26" spans="1:76" ht="82.5" customHeight="1" x14ac:dyDescent="0.45">
      <c r="C26" s="822"/>
      <c r="D26" s="799"/>
      <c r="E26" s="799"/>
      <c r="F26" s="379" t="s">
        <v>674</v>
      </c>
      <c r="G26" s="767">
        <f t="shared" si="4"/>
        <v>14</v>
      </c>
      <c r="H26" s="460">
        <f>H$85*'Trabajo por tipo'!C9/'Trabajo por tipo'!C$10</f>
        <v>2828344376.9498339</v>
      </c>
      <c r="I26" s="460">
        <f>I$85*'Trabajo por tipo'!D9/'Trabajo por tipo'!D$10</f>
        <v>3709313197.8603053</v>
      </c>
      <c r="J26" s="460">
        <f>J$85*'Trabajo por tipo'!E9/'Trabajo por tipo'!E$10</f>
        <v>31477762036.386589</v>
      </c>
      <c r="K26" s="460">
        <f>K$85*'Trabajo por tipo'!F9/'Trabajo por tipo'!F$10</f>
        <v>12589337140.712635</v>
      </c>
      <c r="L26" s="460">
        <f>L$85*'Trabajo por tipo'!G9/'Trabajo por tipo'!G$10</f>
        <v>0</v>
      </c>
      <c r="M26" s="460">
        <f>M$85*'Trabajo por tipo'!H9/'Trabajo por tipo'!H$10</f>
        <v>0</v>
      </c>
      <c r="N26" s="674"/>
      <c r="O26" s="461">
        <f>'transferencias hogares'!$D$13*'transferencias hogares'!$D25*'transferencias hogares'!C$31</f>
        <v>231520232.29687569</v>
      </c>
      <c r="P26" s="461">
        <f>'transferencias hogares'!$D$13*'transferencias hogares'!$D25*'transferencias hogares'!D$31</f>
        <v>231520232.29687569</v>
      </c>
      <c r="Q26" s="461">
        <f>'transferencias hogares'!$D$13*'transferencias hogares'!$D25*'transferencias hogares'!E$31</f>
        <v>231520232.29687569</v>
      </c>
      <c r="R26" s="461">
        <f>'transferencias hogares'!$D$13*'transferencias hogares'!$D25*'transferencias hogares'!F$31</f>
        <v>231520232.29687569</v>
      </c>
      <c r="S26" s="461">
        <f>'transferencias hogares'!$D$13*'transferencias hogares'!$D25*'transferencias hogares'!G$31</f>
        <v>231520232.29687569</v>
      </c>
      <c r="T26" s="461">
        <f>'transferencias hogares'!$D$13*'transferencias hogares'!$D25*'transferencias hogares'!H$31</f>
        <v>172636236.99735746</v>
      </c>
      <c r="U26" s="461">
        <f>'transferencias hogares'!$D$13*'transferencias hogares'!$D25*'transferencias hogares'!I$31</f>
        <v>571436102.51826394</v>
      </c>
      <c r="V26" s="455">
        <f>+'utilidades distribuidas'!G57*(MICROSAM!U$73-U$34)-SUM(MICROSAM!H26:U26)-SUM(MICROSAM!W26:BO26)</f>
        <v>53385934898.069061</v>
      </c>
      <c r="W26" s="462">
        <f>+'SAM macro'!$L$11*'transferencias gobieno'!D25</f>
        <v>3999833987.4241133</v>
      </c>
      <c r="X26" s="462">
        <f>+'transferencias gobieno'!G25*$W$29</f>
        <v>940261433.57823575</v>
      </c>
      <c r="Y26" s="462">
        <f>+'transferencias gobieno'!H25*$W$30</f>
        <v>1403083070.3644462</v>
      </c>
      <c r="Z26" s="462">
        <f>+'transferencias gobieno'!I25*$W$31</f>
        <v>227557314.773444</v>
      </c>
      <c r="AA26" s="458"/>
      <c r="AB26" s="458"/>
      <c r="AC26" s="455"/>
      <c r="AD26" s="455"/>
      <c r="AE26" s="455"/>
      <c r="AF26" s="455"/>
      <c r="AG26" s="455"/>
      <c r="AH26" s="455"/>
      <c r="AI26" s="455"/>
      <c r="AJ26" s="455"/>
      <c r="AK26" s="455"/>
      <c r="AL26" s="455"/>
      <c r="AM26" s="455"/>
      <c r="AN26" s="455"/>
      <c r="AO26" s="455"/>
      <c r="AP26" s="455"/>
      <c r="AQ26" s="455"/>
      <c r="AR26" s="455"/>
      <c r="AS26" s="455"/>
      <c r="AT26" s="455"/>
      <c r="AU26" s="455"/>
      <c r="AV26" s="455"/>
      <c r="AW26" s="455"/>
      <c r="AX26" s="455"/>
      <c r="AY26" s="455"/>
      <c r="AZ26" s="455"/>
      <c r="BA26" s="455"/>
      <c r="BB26" s="455"/>
      <c r="BC26" s="455"/>
      <c r="BD26" s="455"/>
      <c r="BE26" s="455"/>
      <c r="BF26" s="455"/>
      <c r="BG26" s="455"/>
      <c r="BH26" s="455"/>
      <c r="BI26" s="458"/>
      <c r="BJ26" s="458"/>
      <c r="BK26" s="455"/>
      <c r="BL26" s="455"/>
      <c r="BM26" s="455"/>
      <c r="BN26" s="463">
        <f>'transferencias hogares'!E25*'SAM macro'!$U$11</f>
        <v>2158659607.9078245</v>
      </c>
      <c r="BO26" s="458"/>
      <c r="BP26" s="455">
        <f t="shared" si="2"/>
        <v>114621760565.02647</v>
      </c>
      <c r="BQ26" s="347">
        <v>89111136120.361588</v>
      </c>
      <c r="BR26" s="418">
        <f t="shared" si="3"/>
        <v>-25510624444.664886</v>
      </c>
      <c r="BS26" s="644"/>
      <c r="BT26" s="644"/>
    </row>
    <row r="27" spans="1:76" ht="81.75" customHeight="1" x14ac:dyDescent="0.45">
      <c r="C27" s="822"/>
      <c r="D27" s="799" t="s">
        <v>573</v>
      </c>
      <c r="E27" s="799"/>
      <c r="F27" s="799"/>
      <c r="G27" s="767">
        <f t="shared" si="4"/>
        <v>15</v>
      </c>
      <c r="H27" s="455"/>
      <c r="I27" s="455"/>
      <c r="J27" s="455"/>
      <c r="K27" s="455"/>
      <c r="L27" s="455"/>
      <c r="M27" s="455"/>
      <c r="N27" s="455">
        <f>+BP19</f>
        <v>108810841188.67184</v>
      </c>
      <c r="O27" s="455"/>
      <c r="P27" s="455"/>
      <c r="Q27" s="455"/>
      <c r="R27" s="455"/>
      <c r="S27" s="455"/>
      <c r="T27" s="455"/>
      <c r="U27" s="455"/>
      <c r="V27" s="455"/>
      <c r="W27" s="455">
        <f>+'SAM macro'!L12</f>
        <v>2632701639.0647283</v>
      </c>
      <c r="X27" s="455"/>
      <c r="Y27" s="455"/>
      <c r="Z27" s="455"/>
      <c r="AA27" s="455"/>
      <c r="AB27" s="455"/>
      <c r="AC27" s="455"/>
      <c r="AD27" s="455"/>
      <c r="AE27" s="455"/>
      <c r="AF27" s="455"/>
      <c r="AG27" s="455"/>
      <c r="AH27" s="455"/>
      <c r="AI27" s="455"/>
      <c r="AJ27" s="455"/>
      <c r="AK27" s="455"/>
      <c r="AL27" s="455"/>
      <c r="AM27" s="455"/>
      <c r="AN27" s="455"/>
      <c r="AO27" s="455"/>
      <c r="AP27" s="455"/>
      <c r="AQ27" s="455"/>
      <c r="AR27" s="455"/>
      <c r="AS27" s="455"/>
      <c r="AT27" s="455"/>
      <c r="AU27" s="455"/>
      <c r="AV27" s="455"/>
      <c r="AW27" s="455"/>
      <c r="AX27" s="455"/>
      <c r="AY27" s="455"/>
      <c r="AZ27" s="455"/>
      <c r="BA27" s="455"/>
      <c r="BB27" s="455"/>
      <c r="BC27" s="455"/>
      <c r="BD27" s="455"/>
      <c r="BE27" s="455"/>
      <c r="BF27" s="455"/>
      <c r="BG27" s="455"/>
      <c r="BH27" s="455"/>
      <c r="BI27" s="458"/>
      <c r="BJ27" s="458"/>
      <c r="BK27" s="455"/>
      <c r="BL27" s="455"/>
      <c r="BM27" s="455"/>
      <c r="BN27" s="455">
        <f>+'SAM macro'!U12</f>
        <v>499678224.92810553</v>
      </c>
      <c r="BO27" s="458"/>
      <c r="BP27" s="455">
        <f t="shared" si="2"/>
        <v>111943221052.66467</v>
      </c>
      <c r="BQ27" s="347">
        <v>148886198607.10397</v>
      </c>
      <c r="BR27" s="418">
        <f t="shared" si="3"/>
        <v>36942977554.439301</v>
      </c>
      <c r="BS27" s="644"/>
      <c r="BT27" s="644"/>
      <c r="BU27" s="644"/>
      <c r="BV27" s="644"/>
      <c r="BW27" s="644"/>
      <c r="BX27" s="644"/>
    </row>
    <row r="28" spans="1:76" ht="60" customHeight="1" x14ac:dyDescent="0.45">
      <c r="C28" s="822"/>
      <c r="D28" s="799" t="s">
        <v>465</v>
      </c>
      <c r="E28" s="799"/>
      <c r="F28" s="799"/>
      <c r="G28" s="767">
        <f t="shared" si="4"/>
        <v>16</v>
      </c>
      <c r="H28" s="455"/>
      <c r="I28" s="455"/>
      <c r="J28" s="455"/>
      <c r="K28" s="455"/>
      <c r="L28" s="455"/>
      <c r="M28" s="455"/>
      <c r="N28" s="455"/>
      <c r="O28" s="458"/>
      <c r="P28" s="458"/>
      <c r="Q28" s="458"/>
      <c r="R28" s="458"/>
      <c r="S28" s="458"/>
      <c r="T28" s="458"/>
      <c r="U28" s="458"/>
      <c r="V28" s="455">
        <f>+'SAM macro'!H16</f>
        <v>4080961523.1730118</v>
      </c>
      <c r="W28" s="455"/>
      <c r="X28" s="455"/>
      <c r="Y28" s="455"/>
      <c r="Z28" s="455"/>
      <c r="AA28" s="455"/>
      <c r="AB28" s="455"/>
      <c r="AC28" s="455"/>
      <c r="AD28" s="455"/>
      <c r="AE28" s="455"/>
      <c r="AF28" s="455"/>
      <c r="AG28" s="455"/>
      <c r="AH28" s="455"/>
      <c r="AI28" s="455"/>
      <c r="AJ28" s="455"/>
      <c r="AK28" s="455"/>
      <c r="AL28" s="455"/>
      <c r="AM28" s="455"/>
      <c r="AN28" s="455"/>
      <c r="AO28" s="455"/>
      <c r="AP28" s="455"/>
      <c r="AQ28" s="455"/>
      <c r="AR28" s="455"/>
      <c r="AS28" s="455"/>
      <c r="AT28" s="455"/>
      <c r="AU28" s="455"/>
      <c r="AV28" s="455"/>
      <c r="AW28" s="455"/>
      <c r="AX28" s="455"/>
      <c r="AY28" s="455"/>
      <c r="AZ28" s="455"/>
      <c r="BA28" s="455"/>
      <c r="BB28" s="455"/>
      <c r="BC28" s="455"/>
      <c r="BD28" s="455"/>
      <c r="BE28" s="455"/>
      <c r="BF28" s="455"/>
      <c r="BG28" s="455"/>
      <c r="BH28" s="455"/>
      <c r="BI28" s="458"/>
      <c r="BJ28" s="458"/>
      <c r="BK28" s="455">
        <f>+BP68</f>
        <v>11192791939.60076</v>
      </c>
      <c r="BL28" s="455">
        <f>+BP69</f>
        <v>17208534636</v>
      </c>
      <c r="BM28" s="455">
        <f>+BP70</f>
        <v>2744294253</v>
      </c>
      <c r="BN28" s="455">
        <f>+'SAM macro'!U16</f>
        <v>1499034674.7843161</v>
      </c>
      <c r="BO28" s="458">
        <f>+'SAM macro'!V16</f>
        <v>3860350681.7171998</v>
      </c>
      <c r="BP28" s="455">
        <f t="shared" si="2"/>
        <v>40585967708.275291</v>
      </c>
      <c r="BQ28" s="347">
        <v>40421467542.992012</v>
      </c>
      <c r="BR28" s="418">
        <f t="shared" si="3"/>
        <v>-164500165.28327942</v>
      </c>
      <c r="BS28" s="644"/>
      <c r="BT28" s="644"/>
      <c r="BU28" s="644"/>
      <c r="BV28" s="644"/>
      <c r="BW28" s="644"/>
      <c r="BX28" s="644"/>
    </row>
    <row r="29" spans="1:76" ht="60" customHeight="1" x14ac:dyDescent="0.45">
      <c r="C29" s="711"/>
      <c r="D29" s="799" t="s">
        <v>489</v>
      </c>
      <c r="E29" s="799"/>
      <c r="F29" s="799"/>
      <c r="G29" s="767">
        <f t="shared" si="4"/>
        <v>17</v>
      </c>
      <c r="H29" s="455"/>
      <c r="I29" s="455"/>
      <c r="J29" s="455"/>
      <c r="K29" s="455"/>
      <c r="L29" s="455"/>
      <c r="M29" s="455"/>
      <c r="N29" s="455"/>
      <c r="O29" s="458"/>
      <c r="P29" s="458"/>
      <c r="Q29" s="458"/>
      <c r="R29" s="458"/>
      <c r="S29" s="458"/>
      <c r="T29" s="458"/>
      <c r="U29" s="458"/>
      <c r="V29" s="455"/>
      <c r="W29" s="455">
        <f>+[9]Hoja1!$E$24</f>
        <v>6300178776</v>
      </c>
      <c r="X29" s="455"/>
      <c r="Y29" s="455"/>
      <c r="Z29" s="455"/>
      <c r="AA29" s="455"/>
      <c r="AB29" s="455"/>
      <c r="AC29" s="455"/>
      <c r="AD29" s="455"/>
      <c r="AE29" s="455"/>
      <c r="AF29" s="455"/>
      <c r="AG29" s="455"/>
      <c r="AH29" s="455"/>
      <c r="AI29" s="455"/>
      <c r="AJ29" s="455"/>
      <c r="AK29" s="455"/>
      <c r="AL29" s="455"/>
      <c r="AM29" s="455"/>
      <c r="AN29" s="455"/>
      <c r="AO29" s="455"/>
      <c r="AP29" s="455"/>
      <c r="AQ29" s="455"/>
      <c r="AR29" s="455"/>
      <c r="AS29" s="455"/>
      <c r="AT29" s="455"/>
      <c r="AU29" s="455"/>
      <c r="AV29" s="455"/>
      <c r="AW29" s="455"/>
      <c r="AX29" s="455"/>
      <c r="AY29" s="455"/>
      <c r="AZ29" s="455"/>
      <c r="BA29" s="455"/>
      <c r="BB29" s="455"/>
      <c r="BC29" s="455"/>
      <c r="BD29" s="455"/>
      <c r="BE29" s="455"/>
      <c r="BF29" s="455"/>
      <c r="BG29" s="455"/>
      <c r="BH29" s="455"/>
      <c r="BI29" s="458"/>
      <c r="BJ29" s="458"/>
      <c r="BK29" s="455"/>
      <c r="BL29" s="455"/>
      <c r="BM29" s="455"/>
      <c r="BN29" s="455"/>
      <c r="BO29" s="458"/>
      <c r="BP29" s="455">
        <f t="shared" si="2"/>
        <v>6300178776</v>
      </c>
      <c r="BQ29" s="347">
        <v>6300178712.9982119</v>
      </c>
      <c r="BR29" s="418">
        <f t="shared" si="3"/>
        <v>-63.001788139343262</v>
      </c>
      <c r="BS29" s="644"/>
      <c r="BT29" s="644"/>
      <c r="BU29" s="644"/>
      <c r="BV29" s="644"/>
      <c r="BW29" s="644"/>
      <c r="BX29" s="644"/>
    </row>
    <row r="30" spans="1:76" ht="60" customHeight="1" x14ac:dyDescent="0.45">
      <c r="C30" s="711"/>
      <c r="D30" s="799" t="s">
        <v>488</v>
      </c>
      <c r="E30" s="799"/>
      <c r="F30" s="799"/>
      <c r="G30" s="767">
        <f t="shared" si="4"/>
        <v>18</v>
      </c>
      <c r="H30" s="455"/>
      <c r="I30" s="455"/>
      <c r="J30" s="455"/>
      <c r="K30" s="455"/>
      <c r="L30" s="455"/>
      <c r="M30" s="455"/>
      <c r="N30" s="455"/>
      <c r="O30" s="458"/>
      <c r="P30" s="458"/>
      <c r="Q30" s="458"/>
      <c r="R30" s="458"/>
      <c r="S30" s="458"/>
      <c r="T30" s="458"/>
      <c r="U30" s="458"/>
      <c r="V30" s="455"/>
      <c r="W30" s="455">
        <f>+[9]Hoja1!$E$31</f>
        <v>2940109534</v>
      </c>
      <c r="X30" s="455"/>
      <c r="Y30" s="455"/>
      <c r="Z30" s="455"/>
      <c r="AA30" s="455"/>
      <c r="AB30" s="455"/>
      <c r="AC30" s="455"/>
      <c r="AD30" s="455"/>
      <c r="AE30" s="455"/>
      <c r="AF30" s="455"/>
      <c r="AG30" s="455"/>
      <c r="AH30" s="455"/>
      <c r="AI30" s="455"/>
      <c r="AJ30" s="455"/>
      <c r="AK30" s="455"/>
      <c r="AL30" s="455"/>
      <c r="AM30" s="455"/>
      <c r="AN30" s="455"/>
      <c r="AO30" s="455"/>
      <c r="AP30" s="455"/>
      <c r="AQ30" s="455"/>
      <c r="AR30" s="455"/>
      <c r="AS30" s="455"/>
      <c r="AT30" s="455"/>
      <c r="AU30" s="455"/>
      <c r="AV30" s="455"/>
      <c r="AW30" s="455"/>
      <c r="AX30" s="455"/>
      <c r="AY30" s="455"/>
      <c r="AZ30" s="455"/>
      <c r="BA30" s="455"/>
      <c r="BB30" s="455"/>
      <c r="BC30" s="455"/>
      <c r="BD30" s="455"/>
      <c r="BE30" s="455"/>
      <c r="BF30" s="455"/>
      <c r="BG30" s="455"/>
      <c r="BH30" s="455"/>
      <c r="BI30" s="458"/>
      <c r="BJ30" s="458"/>
      <c r="BK30" s="455"/>
      <c r="BL30" s="455"/>
      <c r="BM30" s="455"/>
      <c r="BN30" s="455"/>
      <c r="BO30" s="458"/>
      <c r="BP30" s="455">
        <f t="shared" si="2"/>
        <v>2940109534</v>
      </c>
      <c r="BQ30" s="347">
        <v>2940109534</v>
      </c>
      <c r="BR30" s="418">
        <f t="shared" si="3"/>
        <v>0</v>
      </c>
      <c r="BS30" s="644"/>
      <c r="BT30" s="644"/>
      <c r="BU30" s="644"/>
      <c r="BV30" s="644"/>
      <c r="BW30" s="644"/>
      <c r="BX30" s="644"/>
    </row>
    <row r="31" spans="1:76" ht="60" customHeight="1" x14ac:dyDescent="0.45">
      <c r="C31" s="711"/>
      <c r="D31" s="799" t="s">
        <v>726</v>
      </c>
      <c r="E31" s="799"/>
      <c r="F31" s="799"/>
      <c r="G31" s="767">
        <f t="shared" si="4"/>
        <v>19</v>
      </c>
      <c r="H31" s="455"/>
      <c r="I31" s="455"/>
      <c r="J31" s="455"/>
      <c r="K31" s="455"/>
      <c r="L31" s="455"/>
      <c r="M31" s="455"/>
      <c r="N31" s="455"/>
      <c r="O31" s="458"/>
      <c r="P31" s="458"/>
      <c r="Q31" s="458"/>
      <c r="R31" s="458"/>
      <c r="S31" s="458"/>
      <c r="T31" s="458"/>
      <c r="U31" s="458"/>
      <c r="V31" s="455"/>
      <c r="W31" s="455">
        <f>+[9]Hoja1!$E$14</f>
        <v>1526358417</v>
      </c>
      <c r="X31" s="455"/>
      <c r="Y31" s="455"/>
      <c r="Z31" s="455"/>
      <c r="AA31" s="455"/>
      <c r="AB31" s="455"/>
      <c r="AC31" s="455"/>
      <c r="AD31" s="455"/>
      <c r="AE31" s="455"/>
      <c r="AF31" s="455"/>
      <c r="AG31" s="455"/>
      <c r="AH31" s="455"/>
      <c r="AI31" s="455"/>
      <c r="AJ31" s="455"/>
      <c r="AK31" s="455"/>
      <c r="AL31" s="455"/>
      <c r="AM31" s="455"/>
      <c r="AN31" s="455"/>
      <c r="AO31" s="455"/>
      <c r="AP31" s="455"/>
      <c r="AQ31" s="455"/>
      <c r="AR31" s="455"/>
      <c r="AS31" s="455"/>
      <c r="AT31" s="455"/>
      <c r="AU31" s="455"/>
      <c r="AV31" s="455"/>
      <c r="AW31" s="455"/>
      <c r="AX31" s="455"/>
      <c r="AY31" s="455"/>
      <c r="AZ31" s="455"/>
      <c r="BA31" s="455"/>
      <c r="BB31" s="455"/>
      <c r="BC31" s="455"/>
      <c r="BD31" s="455"/>
      <c r="BE31" s="455"/>
      <c r="BF31" s="455"/>
      <c r="BG31" s="455"/>
      <c r="BH31" s="455"/>
      <c r="BI31" s="458"/>
      <c r="BJ31" s="458"/>
      <c r="BK31" s="455"/>
      <c r="BL31" s="455"/>
      <c r="BM31" s="455"/>
      <c r="BN31" s="455"/>
      <c r="BO31" s="458"/>
      <c r="BP31" s="455">
        <f t="shared" si="2"/>
        <v>1526358417</v>
      </c>
      <c r="BQ31" s="347">
        <v>1526358401.7364159</v>
      </c>
      <c r="BR31" s="418">
        <f t="shared" si="3"/>
        <v>-15.263584136962891</v>
      </c>
      <c r="BS31" s="644"/>
      <c r="BT31" s="644"/>
      <c r="BU31" s="644"/>
      <c r="BV31" s="644"/>
      <c r="BW31" s="644"/>
      <c r="BX31" s="644"/>
    </row>
    <row r="32" spans="1:76" ht="60" customHeight="1" x14ac:dyDescent="0.45">
      <c r="C32" s="711"/>
      <c r="D32" s="713" t="s">
        <v>727</v>
      </c>
      <c r="E32" s="713"/>
      <c r="F32" s="714"/>
      <c r="G32" s="767">
        <f t="shared" si="4"/>
        <v>20</v>
      </c>
      <c r="H32" s="455"/>
      <c r="I32" s="455"/>
      <c r="J32" s="455"/>
      <c r="K32" s="455"/>
      <c r="L32" s="455"/>
      <c r="M32" s="455"/>
      <c r="N32" s="455"/>
      <c r="O32" s="462">
        <f>+SUM(X20:Z20)</f>
        <v>2078493649.5501807</v>
      </c>
      <c r="P32" s="462">
        <f>+SUM(X21:Z21)</f>
        <v>724335334.98769188</v>
      </c>
      <c r="Q32" s="462">
        <f>+SUM(X22:Z22)</f>
        <v>1475057632.2912078</v>
      </c>
      <c r="R32" s="462">
        <f>+SUM(X23:Z23)</f>
        <v>2613499907.3754683</v>
      </c>
      <c r="S32" s="462">
        <f>+SUM(X24:Z24)</f>
        <v>587670402.35425305</v>
      </c>
      <c r="T32" s="462">
        <f>+SUM(X25:Z25)</f>
        <v>716687981.72507286</v>
      </c>
      <c r="U32" s="462">
        <f>+SUM(X26:Z26)</f>
        <v>2570901818.716126</v>
      </c>
      <c r="V32" s="455"/>
      <c r="W32" s="455"/>
      <c r="X32" s="455"/>
      <c r="Y32" s="455"/>
      <c r="Z32" s="455"/>
      <c r="AA32" s="455"/>
      <c r="AB32" s="455"/>
      <c r="AC32" s="455"/>
      <c r="AD32" s="455"/>
      <c r="AE32" s="455"/>
      <c r="AF32" s="455"/>
      <c r="AG32" s="455"/>
      <c r="AH32" s="455"/>
      <c r="AI32" s="455"/>
      <c r="AJ32" s="455"/>
      <c r="AK32" s="455"/>
      <c r="AL32" s="455"/>
      <c r="AM32" s="455"/>
      <c r="AN32" s="455"/>
      <c r="AO32" s="455"/>
      <c r="AP32" s="455"/>
      <c r="AQ32" s="455"/>
      <c r="AR32" s="455"/>
      <c r="AS32" s="455"/>
      <c r="AT32" s="455"/>
      <c r="AU32" s="455"/>
      <c r="AV32" s="455"/>
      <c r="AW32" s="455"/>
      <c r="AX32" s="455"/>
      <c r="AY32" s="455"/>
      <c r="AZ32" s="455"/>
      <c r="BA32" s="455"/>
      <c r="BB32" s="455"/>
      <c r="BC32" s="455"/>
      <c r="BD32" s="455"/>
      <c r="BE32" s="455"/>
      <c r="BF32" s="455"/>
      <c r="BG32" s="455"/>
      <c r="BH32" s="455"/>
      <c r="BI32" s="458"/>
      <c r="BJ32" s="458"/>
      <c r="BK32" s="455"/>
      <c r="BL32" s="455"/>
      <c r="BM32" s="455"/>
      <c r="BN32" s="455"/>
      <c r="BO32" s="458"/>
      <c r="BP32" s="455">
        <f t="shared" si="2"/>
        <v>10766646727</v>
      </c>
      <c r="BQ32" s="347">
        <v>10766646648.734627</v>
      </c>
      <c r="BR32" s="418">
        <f t="shared" si="3"/>
        <v>-78.265373229980469</v>
      </c>
      <c r="BS32" s="644"/>
      <c r="BT32" s="644"/>
      <c r="BU32" s="644"/>
      <c r="BV32" s="644"/>
      <c r="BW32" s="644"/>
      <c r="BX32" s="644"/>
    </row>
    <row r="33" spans="3:108" ht="60" customHeight="1" x14ac:dyDescent="0.45">
      <c r="C33" s="711"/>
      <c r="D33" s="713" t="s">
        <v>733</v>
      </c>
      <c r="E33" s="713"/>
      <c r="F33" s="714"/>
      <c r="G33" s="767">
        <f t="shared" si="4"/>
        <v>21</v>
      </c>
      <c r="H33" s="455"/>
      <c r="I33" s="455"/>
      <c r="J33" s="458"/>
      <c r="K33" s="458"/>
      <c r="L33" s="458"/>
      <c r="M33" s="458"/>
      <c r="N33" s="458"/>
      <c r="O33" s="458"/>
      <c r="P33" s="458"/>
      <c r="Q33" s="458"/>
      <c r="R33" s="458"/>
      <c r="S33" s="458"/>
      <c r="T33" s="458"/>
      <c r="U33" s="458"/>
      <c r="V33" s="458"/>
      <c r="W33" s="455">
        <f>+SUM(AB51:AB65)</f>
        <v>6442591293.4041843</v>
      </c>
      <c r="X33" s="455"/>
      <c r="Y33" s="455"/>
      <c r="Z33" s="455"/>
      <c r="AA33" s="455"/>
      <c r="AB33" s="455"/>
      <c r="AC33" s="455"/>
      <c r="AD33" s="455"/>
      <c r="AE33" s="455"/>
      <c r="AF33" s="455"/>
      <c r="AG33" s="455"/>
      <c r="AH33" s="455"/>
      <c r="AI33" s="455"/>
      <c r="AJ33" s="455"/>
      <c r="AK33" s="455"/>
      <c r="AL33" s="455"/>
      <c r="AM33" s="455"/>
      <c r="AN33" s="455"/>
      <c r="AO33" s="455"/>
      <c r="AP33" s="455"/>
      <c r="AQ33" s="455"/>
      <c r="AR33" s="455"/>
      <c r="AS33" s="455"/>
      <c r="AT33" s="455"/>
      <c r="AU33" s="455"/>
      <c r="AV33" s="455"/>
      <c r="AW33" s="455"/>
      <c r="AX33" s="455"/>
      <c r="AY33" s="455"/>
      <c r="AZ33" s="455"/>
      <c r="BA33" s="455"/>
      <c r="BB33" s="455"/>
      <c r="BC33" s="455"/>
      <c r="BD33" s="455"/>
      <c r="BE33" s="455"/>
      <c r="BF33" s="455"/>
      <c r="BG33" s="455"/>
      <c r="BH33" s="455"/>
      <c r="BI33" s="458"/>
      <c r="BJ33" s="458"/>
      <c r="BK33" s="455"/>
      <c r="BL33" s="455"/>
      <c r="BM33" s="455"/>
      <c r="BN33" s="455"/>
      <c r="BO33" s="458"/>
      <c r="BP33" s="455">
        <f t="shared" si="2"/>
        <v>6442591293.4041843</v>
      </c>
      <c r="BQ33" s="347">
        <v>6480899988.9294491</v>
      </c>
      <c r="BR33" s="418">
        <f t="shared" si="3"/>
        <v>38308695.52526474</v>
      </c>
      <c r="BS33" s="644"/>
      <c r="BT33" s="644"/>
      <c r="BU33" s="644"/>
      <c r="BV33" s="644"/>
      <c r="BW33" s="644"/>
      <c r="BX33" s="644"/>
    </row>
    <row r="34" spans="3:108" ht="60" customHeight="1" x14ac:dyDescent="0.45">
      <c r="C34" s="813" t="s">
        <v>581</v>
      </c>
      <c r="D34" s="814"/>
      <c r="E34" s="814"/>
      <c r="F34" s="823"/>
      <c r="G34" s="767">
        <f t="shared" si="4"/>
        <v>22</v>
      </c>
      <c r="H34" s="455"/>
      <c r="I34" s="455"/>
      <c r="J34" s="455"/>
      <c r="K34" s="455"/>
      <c r="L34" s="455"/>
      <c r="M34" s="455"/>
      <c r="N34" s="455"/>
      <c r="O34" s="455">
        <f>'utilidades distribuidas'!D61*(SUM(O13:O33)+SUM(O35:O71))</f>
        <v>5387831588.2729025</v>
      </c>
      <c r="P34" s="455">
        <f>'utilidades distribuidas'!E61*(SUM(P13:P33)+SUM(P35:P71))</f>
        <v>545455778.85995817</v>
      </c>
      <c r="Q34" s="455">
        <f>'utilidades distribuidas'!F61*(SUM(Q13:Q33)+SUM(Q35:Q71))</f>
        <v>2939495567.8394866</v>
      </c>
      <c r="R34" s="455">
        <f>'utilidades distribuidas'!G61*(SUM(R13:R33)+SUM(R35:R71))</f>
        <v>-964359794.91753244</v>
      </c>
      <c r="S34" s="455">
        <f>'utilidades distribuidas'!H61*(SUM(S13:S33)+SUM(S35:S71))</f>
        <v>129659877.01351453</v>
      </c>
      <c r="T34" s="455">
        <f>'utilidades distribuidas'!I61*(SUM(T13:T33)+SUM(T35:T71))</f>
        <v>-493755446.11966777</v>
      </c>
      <c r="U34" s="455">
        <f>'utilidades distribuidas'!J61*(SUM(U13:U33)+SUM(U35:U71))</f>
        <v>32241832679.826637</v>
      </c>
      <c r="V34" s="455">
        <f>+'SAM macro'!H20</f>
        <v>358356115.86608505</v>
      </c>
      <c r="W34" s="455">
        <f>+'SAM macro'!L20</f>
        <v>-2595520376.1447639</v>
      </c>
      <c r="X34" s="455"/>
      <c r="Y34" s="455"/>
      <c r="Z34" s="455"/>
      <c r="AA34" s="455"/>
      <c r="AB34" s="455"/>
      <c r="AC34" s="455"/>
      <c r="AD34" s="455"/>
      <c r="AE34" s="455"/>
      <c r="AF34" s="455"/>
      <c r="AG34" s="455"/>
      <c r="AH34" s="455"/>
      <c r="AI34" s="455"/>
      <c r="AJ34" s="455"/>
      <c r="AK34" s="455"/>
      <c r="AL34" s="455"/>
      <c r="AM34" s="455"/>
      <c r="AN34" s="455"/>
      <c r="AO34" s="455"/>
      <c r="AP34" s="455"/>
      <c r="AQ34" s="455"/>
      <c r="AR34" s="455"/>
      <c r="AS34" s="455"/>
      <c r="AT34" s="455"/>
      <c r="AU34" s="455"/>
      <c r="AV34" s="455"/>
      <c r="AW34" s="455"/>
      <c r="AX34" s="455"/>
      <c r="AY34" s="455"/>
      <c r="AZ34" s="455"/>
      <c r="BA34" s="455"/>
      <c r="BB34" s="455"/>
      <c r="BC34" s="455"/>
      <c r="BD34" s="455"/>
      <c r="BE34" s="455"/>
      <c r="BF34" s="455"/>
      <c r="BG34" s="455"/>
      <c r="BH34" s="455"/>
      <c r="BI34" s="458"/>
      <c r="BJ34" s="458"/>
      <c r="BK34" s="455"/>
      <c r="BL34" s="455"/>
      <c r="BM34" s="455"/>
      <c r="BN34" s="455">
        <f>+'SAM macro'!U20</f>
        <v>-187159546.3189621</v>
      </c>
      <c r="BO34" s="458"/>
      <c r="BP34" s="455">
        <f t="shared" si="2"/>
        <v>37361836444.177666</v>
      </c>
      <c r="BQ34" s="347">
        <v>35830544451.070549</v>
      </c>
      <c r="BR34" s="418">
        <f t="shared" si="3"/>
        <v>-1531291993.1071167</v>
      </c>
      <c r="BS34" s="644"/>
      <c r="BT34" s="644"/>
      <c r="BU34" s="644"/>
      <c r="BV34" s="644"/>
      <c r="BW34" s="644"/>
      <c r="BX34" s="644"/>
      <c r="BY34" s="348" t="s">
        <v>570</v>
      </c>
      <c r="CP34" s="808" t="s">
        <v>511</v>
      </c>
      <c r="CQ34" s="808"/>
      <c r="CR34" s="808"/>
    </row>
    <row r="35" spans="3:108" ht="60" customHeight="1" x14ac:dyDescent="0.45">
      <c r="C35" s="813" t="s">
        <v>285</v>
      </c>
      <c r="D35" s="814"/>
      <c r="E35" s="814"/>
      <c r="F35" s="823"/>
      <c r="G35" s="767">
        <f t="shared" si="4"/>
        <v>23</v>
      </c>
      <c r="H35" s="455"/>
      <c r="I35" s="455"/>
      <c r="J35" s="455"/>
      <c r="K35" s="455"/>
      <c r="L35" s="455"/>
      <c r="M35" s="455"/>
      <c r="N35" s="455"/>
      <c r="O35" s="455"/>
      <c r="P35" s="455"/>
      <c r="Q35" s="455"/>
      <c r="R35" s="455"/>
      <c r="S35" s="455"/>
      <c r="T35" s="455"/>
      <c r="U35" s="455"/>
      <c r="V35" s="455"/>
      <c r="W35" s="455"/>
      <c r="X35" s="455"/>
      <c r="Y35" s="455"/>
      <c r="Z35" s="455"/>
      <c r="AA35" s="455"/>
      <c r="AB35" s="455"/>
      <c r="AC35" s="455">
        <f>++AD73</f>
        <v>1539349504</v>
      </c>
      <c r="AD35" s="455"/>
      <c r="AE35" s="455"/>
      <c r="AF35" s="455"/>
      <c r="AG35" s="455"/>
      <c r="AH35" s="455"/>
      <c r="AI35" s="455"/>
      <c r="AJ35" s="455"/>
      <c r="AK35" s="455"/>
      <c r="AL35" s="455"/>
      <c r="AM35" s="455"/>
      <c r="AN35" s="455"/>
      <c r="AO35" s="455"/>
      <c r="AP35" s="455"/>
      <c r="AQ35" s="455"/>
      <c r="AR35" s="455"/>
      <c r="AS35" s="455"/>
      <c r="AT35" s="455"/>
      <c r="AU35" s="455"/>
      <c r="AV35" s="455"/>
      <c r="AW35" s="455"/>
      <c r="AX35" s="455"/>
      <c r="AY35" s="455"/>
      <c r="AZ35" s="455"/>
      <c r="BA35" s="455"/>
      <c r="BB35" s="455"/>
      <c r="BC35" s="455"/>
      <c r="BD35" s="455"/>
      <c r="BE35" s="455"/>
      <c r="BF35" s="455"/>
      <c r="BG35" s="455"/>
      <c r="BH35" s="455"/>
      <c r="BI35" s="458"/>
      <c r="BJ35" s="458"/>
      <c r="BK35" s="455"/>
      <c r="BL35" s="455"/>
      <c r="BM35" s="455"/>
      <c r="BN35" s="455"/>
      <c r="BO35" s="458"/>
      <c r="BP35" s="455">
        <f t="shared" si="2"/>
        <v>1539349504</v>
      </c>
      <c r="BQ35" s="347">
        <v>161344512</v>
      </c>
      <c r="BR35" s="418">
        <f t="shared" si="3"/>
        <v>-1378004992</v>
      </c>
      <c r="BS35" s="644"/>
      <c r="BT35" s="644"/>
      <c r="BU35" s="644"/>
      <c r="BV35" s="644"/>
      <c r="BW35" s="644"/>
      <c r="BX35" s="644"/>
      <c r="BY35" s="348">
        <v>1</v>
      </c>
      <c r="BZ35" s="348">
        <v>2</v>
      </c>
      <c r="CA35" s="348">
        <v>3</v>
      </c>
      <c r="CB35" s="348">
        <v>4</v>
      </c>
      <c r="CC35" s="348">
        <v>5</v>
      </c>
      <c r="CD35" s="348">
        <v>6</v>
      </c>
      <c r="CE35" s="348">
        <v>7</v>
      </c>
      <c r="CF35" s="348">
        <v>8</v>
      </c>
      <c r="CG35" s="348">
        <v>9</v>
      </c>
      <c r="CH35" s="348">
        <v>10</v>
      </c>
      <c r="CI35" s="348">
        <v>11</v>
      </c>
      <c r="CJ35" s="348">
        <v>12</v>
      </c>
      <c r="CK35" s="348">
        <v>13</v>
      </c>
      <c r="CL35" s="348">
        <v>14</v>
      </c>
      <c r="CM35" s="348">
        <v>15</v>
      </c>
      <c r="CP35" s="348">
        <v>1</v>
      </c>
      <c r="CQ35" s="348">
        <v>2</v>
      </c>
      <c r="CR35" s="348">
        <v>3</v>
      </c>
      <c r="CS35" s="348">
        <v>4</v>
      </c>
      <c r="CT35" s="348">
        <v>5</v>
      </c>
      <c r="CU35" s="348">
        <v>6</v>
      </c>
      <c r="CV35" s="348">
        <v>7</v>
      </c>
      <c r="CW35" s="348">
        <v>8</v>
      </c>
      <c r="CX35" s="348">
        <v>9</v>
      </c>
      <c r="CY35" s="348">
        <v>10</v>
      </c>
      <c r="CZ35" s="348">
        <v>11</v>
      </c>
      <c r="DA35" s="348">
        <v>12</v>
      </c>
      <c r="DB35" s="348">
        <v>13</v>
      </c>
      <c r="DC35" s="348">
        <v>14</v>
      </c>
      <c r="DD35" s="348">
        <v>15</v>
      </c>
    </row>
    <row r="36" spans="3:108" ht="15.75" customHeight="1" x14ac:dyDescent="0.45">
      <c r="C36" s="824" t="s">
        <v>18</v>
      </c>
      <c r="D36" s="825"/>
      <c r="E36" s="826"/>
      <c r="F36" s="347">
        <v>1</v>
      </c>
      <c r="G36" s="767">
        <f t="shared" si="4"/>
        <v>24</v>
      </c>
      <c r="H36" s="455"/>
      <c r="I36" s="455"/>
      <c r="J36" s="455"/>
      <c r="K36" s="455"/>
      <c r="L36" s="455"/>
      <c r="M36" s="455"/>
      <c r="N36" s="455"/>
      <c r="O36" s="463">
        <f>('precios bas.'!$A2-'precios bas.'!$G2)*[8]Hoja1!$T6*[8]Hoja1!C6</f>
        <v>135230628.9709388</v>
      </c>
      <c r="P36" s="463">
        <f>('precios bas.'!$A2-'precios bas.'!$G2)*[8]Hoja1!$T6*[8]Hoja1!D6</f>
        <v>54984950.277554251</v>
      </c>
      <c r="Q36" s="463">
        <f>('precios bas.'!$A2-'precios bas.'!$G2)*[8]Hoja1!$T6*[8]Hoja1!E6</f>
        <v>219972254.42356607</v>
      </c>
      <c r="R36" s="463">
        <f>('precios bas.'!$A2-'precios bas.'!$G2)*[8]Hoja1!$T6*[8]Hoja1!F6</f>
        <v>379016153.91704553</v>
      </c>
      <c r="S36" s="463">
        <f>('precios bas.'!$A2-'precios bas.'!$G2)*[8]Hoja1!$T6*[8]Hoja1!G6</f>
        <v>86226664.532940134</v>
      </c>
      <c r="T36" s="463">
        <f>('precios bas.'!$A2-'precios bas.'!$G2)*[8]Hoja1!$T6*[8]Hoja1!H6</f>
        <v>99938223.235873863</v>
      </c>
      <c r="U36" s="463">
        <f>('precios bas.'!$A2-'precios bas.'!$G2)*[8]Hoja1!$T6*[8]Hoja1!I6</f>
        <v>196584398.60600287</v>
      </c>
      <c r="V36" s="458"/>
      <c r="W36" s="458"/>
      <c r="X36" s="458"/>
      <c r="Y36" s="458"/>
      <c r="Z36" s="458"/>
      <c r="AA36" s="458"/>
      <c r="AB36" s="458"/>
      <c r="AC36" s="458"/>
      <c r="AD36" s="455"/>
      <c r="AE36" s="464"/>
      <c r="AF36" s="464"/>
      <c r="AG36" s="464"/>
      <c r="AH36" s="464"/>
      <c r="AI36" s="464"/>
      <c r="AJ36" s="464"/>
      <c r="AK36" s="464"/>
      <c r="AL36" s="464"/>
      <c r="AM36" s="464"/>
      <c r="AN36" s="464"/>
      <c r="AO36" s="464"/>
      <c r="AP36" s="464"/>
      <c r="AQ36" s="464"/>
      <c r="AR36" s="464"/>
      <c r="AS36" s="464"/>
      <c r="AT36" s="465">
        <f>'datos prec. compr.'!Q2-CP36</f>
        <v>25571645830.036079</v>
      </c>
      <c r="AU36" s="465">
        <f>'datos prec. compr.'!R2-CQ36</f>
        <v>0</v>
      </c>
      <c r="AV36" s="465">
        <f>'datos prec. compr.'!S2-CR36</f>
        <v>0</v>
      </c>
      <c r="AW36" s="465">
        <f>'datos prec. compr.'!T2-CS36</f>
        <v>368975456</v>
      </c>
      <c r="AX36" s="465">
        <f>'datos prec. compr.'!U2-CT36</f>
        <v>14812143</v>
      </c>
      <c r="AY36" s="465">
        <f>'datos prec. compr.'!V2-CU36</f>
        <v>0</v>
      </c>
      <c r="AZ36" s="465">
        <f>'datos prec. compr.'!W2-CV36</f>
        <v>0</v>
      </c>
      <c r="BA36" s="465">
        <f>'datos prec. compr.'!X2-CW36</f>
        <v>139551600</v>
      </c>
      <c r="BB36" s="465">
        <f>'datos prec. compr.'!Y2-CX36</f>
        <v>1300827</v>
      </c>
      <c r="BC36" s="465">
        <f>'datos prec. compr.'!Z2-CY36</f>
        <v>0</v>
      </c>
      <c r="BD36" s="465">
        <f>'datos prec. compr.'!AA2-CZ36</f>
        <v>0</v>
      </c>
      <c r="BE36" s="465">
        <f>'datos prec. compr.'!AB2-DA36</f>
        <v>0</v>
      </c>
      <c r="BF36" s="465">
        <f>'datos prec. compr.'!AC2-DB36</f>
        <v>0</v>
      </c>
      <c r="BG36" s="465">
        <f>'datos prec. compr.'!AD2-DC36</f>
        <v>0</v>
      </c>
      <c r="BH36" s="465">
        <f>'datos prec. compr.'!AE2-DD36</f>
        <v>0</v>
      </c>
      <c r="BI36" s="458"/>
      <c r="BJ36" s="458"/>
      <c r="BK36" s="455"/>
      <c r="BL36" s="455"/>
      <c r="BM36" s="455"/>
      <c r="BN36" s="458"/>
      <c r="BO36" s="458"/>
      <c r="BP36" s="455">
        <f t="shared" si="2"/>
        <v>27268239130</v>
      </c>
      <c r="BQ36" s="347">
        <v>27315363960</v>
      </c>
      <c r="BR36" s="418">
        <f t="shared" si="3"/>
        <v>47124830</v>
      </c>
      <c r="BS36" s="644"/>
      <c r="BT36" s="644"/>
      <c r="BU36" s="644"/>
      <c r="BV36" s="644"/>
      <c r="BW36" s="644"/>
      <c r="BX36" s="644"/>
      <c r="BY36" s="407">
        <f>+AE73</f>
        <v>27268237788</v>
      </c>
      <c r="BZ36" s="407"/>
      <c r="CA36" s="407"/>
      <c r="CB36" s="407"/>
      <c r="CC36" s="407"/>
      <c r="CD36" s="407"/>
      <c r="CE36" s="407"/>
      <c r="CF36" s="407"/>
      <c r="CG36" s="407"/>
      <c r="CH36" s="407"/>
      <c r="CI36" s="407"/>
      <c r="CJ36" s="407"/>
      <c r="CK36" s="407"/>
      <c r="CL36" s="407"/>
      <c r="CM36" s="407"/>
      <c r="CP36" s="411">
        <f>SUM($O36:$U36)</f>
        <v>1171953273.9639215</v>
      </c>
      <c r="CQ36" s="411"/>
      <c r="CR36" s="411"/>
      <c r="CS36" s="411"/>
      <c r="CT36" s="411"/>
      <c r="CU36" s="411"/>
      <c r="CV36" s="411"/>
      <c r="CW36" s="411"/>
      <c r="CX36" s="411"/>
      <c r="CY36" s="411"/>
      <c r="CZ36" s="411"/>
      <c r="DA36" s="411"/>
      <c r="DB36" s="411"/>
      <c r="DC36" s="411"/>
      <c r="DD36" s="411"/>
    </row>
    <row r="37" spans="3:108" ht="13.5" customHeight="1" x14ac:dyDescent="0.45">
      <c r="C37" s="827"/>
      <c r="D37" s="828"/>
      <c r="E37" s="829"/>
      <c r="F37" s="347">
        <v>2</v>
      </c>
      <c r="G37" s="767">
        <f t="shared" si="4"/>
        <v>25</v>
      </c>
      <c r="H37" s="455"/>
      <c r="I37" s="455"/>
      <c r="J37" s="455"/>
      <c r="K37" s="455"/>
      <c r="L37" s="455"/>
      <c r="M37" s="455"/>
      <c r="N37" s="455"/>
      <c r="O37" s="463">
        <f>('precios bas.'!$A3-'precios bas.'!$G3)*[8]Hoja1!$T7*[8]Hoja1!C7</f>
        <v>26054451.988469467</v>
      </c>
      <c r="P37" s="463">
        <f>('precios bas.'!$A3-'precios bas.'!$G3)*[8]Hoja1!$T7*[8]Hoja1!D7</f>
        <v>10593774.191516818</v>
      </c>
      <c r="Q37" s="463">
        <f>('precios bas.'!$A3-'precios bas.'!$G3)*[8]Hoja1!$T7*[8]Hoja1!E7</f>
        <v>42381349.441965885</v>
      </c>
      <c r="R37" s="463">
        <f>('precios bas.'!$A3-'precios bas.'!$G3)*[8]Hoja1!$T7*[8]Hoja1!F7</f>
        <v>73023827.961401969</v>
      </c>
      <c r="S37" s="463">
        <f>('precios bas.'!$A3-'precios bas.'!$G3)*[8]Hoja1!$T7*[8]Hoja1!G7</f>
        <v>16613015.174854698</v>
      </c>
      <c r="T37" s="463">
        <f>('precios bas.'!$A3-'precios bas.'!$G3)*[8]Hoja1!$T7*[8]Hoja1!H7</f>
        <v>19254777.256649349</v>
      </c>
      <c r="U37" s="463">
        <f>('precios bas.'!$A3-'precios bas.'!$G3)*[8]Hoja1!$T7*[8]Hoja1!I7</f>
        <v>37875286.199126877</v>
      </c>
      <c r="V37" s="458"/>
      <c r="W37" s="458"/>
      <c r="X37" s="458"/>
      <c r="Y37" s="458"/>
      <c r="Z37" s="458"/>
      <c r="AA37" s="458"/>
      <c r="AB37" s="458"/>
      <c r="AC37" s="458"/>
      <c r="AD37" s="455"/>
      <c r="AE37" s="464"/>
      <c r="AF37" s="464"/>
      <c r="AG37" s="464"/>
      <c r="AH37" s="464"/>
      <c r="AI37" s="464"/>
      <c r="AJ37" s="464"/>
      <c r="AK37" s="464"/>
      <c r="AL37" s="464"/>
      <c r="AM37" s="464"/>
      <c r="AN37" s="464"/>
      <c r="AO37" s="464"/>
      <c r="AP37" s="464"/>
      <c r="AQ37" s="464"/>
      <c r="AR37" s="464"/>
      <c r="AS37" s="464"/>
      <c r="AT37" s="465">
        <f>'datos prec. compr.'!Q3-CP37</f>
        <v>0</v>
      </c>
      <c r="AU37" s="465">
        <f>'datos prec. compr.'!R3-CQ37</f>
        <v>6694616701.7860146</v>
      </c>
      <c r="AV37" s="465">
        <f>'datos prec. compr.'!S3-CR37</f>
        <v>0</v>
      </c>
      <c r="AW37" s="465">
        <f>'datos prec. compr.'!T3-CS37</f>
        <v>3639763</v>
      </c>
      <c r="AX37" s="465">
        <f>'datos prec. compr.'!U3-CT37</f>
        <v>39037124</v>
      </c>
      <c r="AY37" s="465">
        <f>'datos prec. compr.'!V3-CU37</f>
        <v>75632336</v>
      </c>
      <c r="AZ37" s="465">
        <f>'datos prec. compr.'!W3-CV37</f>
        <v>14597623</v>
      </c>
      <c r="BA37" s="465">
        <f>'datos prec. compr.'!X3-CW37</f>
        <v>32045062</v>
      </c>
      <c r="BB37" s="465">
        <f>'datos prec. compr.'!Y3-CX37</f>
        <v>1261366</v>
      </c>
      <c r="BC37" s="465">
        <f>'datos prec. compr.'!Z3-CY37</f>
        <v>12947500</v>
      </c>
      <c r="BD37" s="465">
        <f>'datos prec. compr.'!AA3-CZ37</f>
        <v>0</v>
      </c>
      <c r="BE37" s="465">
        <f>'datos prec. compr.'!AB3-DA37</f>
        <v>0</v>
      </c>
      <c r="BF37" s="465">
        <f>'datos prec. compr.'!AC3-DB37</f>
        <v>0</v>
      </c>
      <c r="BG37" s="465">
        <f>'datos prec. compr.'!AD3-DC37</f>
        <v>171389296</v>
      </c>
      <c r="BH37" s="465">
        <f>'datos prec. compr.'!AE3-DD37</f>
        <v>0</v>
      </c>
      <c r="BI37" s="458"/>
      <c r="BJ37" s="458"/>
      <c r="BK37" s="455"/>
      <c r="BL37" s="455"/>
      <c r="BM37" s="455"/>
      <c r="BN37" s="458"/>
      <c r="BO37" s="458"/>
      <c r="BP37" s="455">
        <f t="shared" si="2"/>
        <v>7270963254</v>
      </c>
      <c r="BQ37" s="347">
        <v>7283529396</v>
      </c>
      <c r="BR37" s="418">
        <f t="shared" si="3"/>
        <v>12566142</v>
      </c>
      <c r="BS37" s="644"/>
      <c r="BT37" s="644"/>
      <c r="BU37" s="644"/>
      <c r="BV37" s="644"/>
      <c r="BW37" s="644"/>
      <c r="BX37" s="644"/>
      <c r="BY37" s="407"/>
      <c r="BZ37" s="407">
        <f>+AF73</f>
        <v>7270963634</v>
      </c>
      <c r="CA37" s="407"/>
      <c r="CB37" s="407"/>
      <c r="CC37" s="407"/>
      <c r="CD37" s="407"/>
      <c r="CE37" s="407"/>
      <c r="CF37" s="407"/>
      <c r="CG37" s="407"/>
      <c r="CH37" s="407"/>
      <c r="CI37" s="407"/>
      <c r="CJ37" s="407"/>
      <c r="CK37" s="407"/>
      <c r="CL37" s="407"/>
      <c r="CM37" s="407"/>
      <c r="CP37" s="411"/>
      <c r="CQ37" s="411">
        <f>SUM($O37:$U37)</f>
        <v>225796482.21398506</v>
      </c>
      <c r="CR37" s="411"/>
      <c r="CS37" s="411"/>
      <c r="CT37" s="411"/>
      <c r="CU37" s="411"/>
      <c r="CV37" s="411"/>
      <c r="CW37" s="411"/>
      <c r="CX37" s="411"/>
      <c r="CY37" s="411"/>
      <c r="CZ37" s="411"/>
      <c r="DA37" s="411"/>
      <c r="DB37" s="411"/>
      <c r="DC37" s="411"/>
      <c r="DD37" s="411"/>
    </row>
    <row r="38" spans="3:108" ht="15" customHeight="1" x14ac:dyDescent="0.45">
      <c r="C38" s="827"/>
      <c r="D38" s="828"/>
      <c r="E38" s="829"/>
      <c r="F38" s="347">
        <v>3</v>
      </c>
      <c r="G38" s="767">
        <f t="shared" si="4"/>
        <v>26</v>
      </c>
      <c r="H38" s="455"/>
      <c r="I38" s="455"/>
      <c r="J38" s="455"/>
      <c r="K38" s="455"/>
      <c r="L38" s="455"/>
      <c r="M38" s="455"/>
      <c r="N38" s="455"/>
      <c r="O38" s="463">
        <f>('precios bas.'!$A4-'precios bas.'!$G4)*[8]Hoja1!$T8*[8]Hoja1!C8</f>
        <v>0</v>
      </c>
      <c r="P38" s="463">
        <f>('precios bas.'!$A4-'precios bas.'!$G4)*[8]Hoja1!$T8*[8]Hoja1!D8</f>
        <v>0</v>
      </c>
      <c r="Q38" s="463">
        <f>('precios bas.'!$A4-'precios bas.'!$G4)*[8]Hoja1!$T8*[8]Hoja1!E8</f>
        <v>0</v>
      </c>
      <c r="R38" s="463">
        <f>('precios bas.'!$A4-'precios bas.'!$G4)*[8]Hoja1!$T8*[8]Hoja1!F8</f>
        <v>0</v>
      </c>
      <c r="S38" s="463">
        <f>('precios bas.'!$A4-'precios bas.'!$G4)*[8]Hoja1!$T8*[8]Hoja1!G8</f>
        <v>0</v>
      </c>
      <c r="T38" s="463">
        <f>('precios bas.'!$A4-'precios bas.'!$G4)*[8]Hoja1!$T8*[8]Hoja1!H8</f>
        <v>0</v>
      </c>
      <c r="U38" s="463">
        <f>('precios bas.'!$A4-'precios bas.'!$G4)*[8]Hoja1!$T8*[8]Hoja1!I8</f>
        <v>0</v>
      </c>
      <c r="V38" s="458"/>
      <c r="W38" s="458"/>
      <c r="X38" s="458"/>
      <c r="Y38" s="458"/>
      <c r="Z38" s="458"/>
      <c r="AA38" s="458"/>
      <c r="AB38" s="458"/>
      <c r="AC38" s="458"/>
      <c r="AD38" s="455"/>
      <c r="AE38" s="464"/>
      <c r="AF38" s="464"/>
      <c r="AG38" s="464"/>
      <c r="AH38" s="464"/>
      <c r="AI38" s="464"/>
      <c r="AJ38" s="464"/>
      <c r="AK38" s="464"/>
      <c r="AL38" s="464"/>
      <c r="AM38" s="464"/>
      <c r="AN38" s="464"/>
      <c r="AO38" s="464"/>
      <c r="AP38" s="464"/>
      <c r="AQ38" s="464"/>
      <c r="AR38" s="464"/>
      <c r="AS38" s="464"/>
      <c r="AT38" s="465">
        <f>'datos prec. compr.'!Q4-CP38</f>
        <v>0</v>
      </c>
      <c r="AU38" s="465">
        <f>'datos prec. compr.'!R4-CQ38</f>
        <v>0</v>
      </c>
      <c r="AV38" s="465">
        <f>'datos prec. compr.'!S4-CR38</f>
        <v>41918140416</v>
      </c>
      <c r="AW38" s="465">
        <f>'datos prec. compr.'!T4-CS38</f>
        <v>0</v>
      </c>
      <c r="AX38" s="465">
        <f>'datos prec. compr.'!U4-CT38</f>
        <v>0</v>
      </c>
      <c r="AY38" s="465">
        <f>'datos prec. compr.'!V4-CU38</f>
        <v>36949224</v>
      </c>
      <c r="AZ38" s="465">
        <f>'datos prec. compr.'!W4-CV38</f>
        <v>100371736</v>
      </c>
      <c r="BA38" s="465">
        <f>'datos prec. compr.'!X4-CW38</f>
        <v>695896768</v>
      </c>
      <c r="BB38" s="465">
        <f>'datos prec. compr.'!Y4-CX38</f>
        <v>245482544</v>
      </c>
      <c r="BC38" s="465">
        <f>'datos prec. compr.'!Z4-CY38</f>
        <v>14476542</v>
      </c>
      <c r="BD38" s="465">
        <f>'datos prec. compr.'!AA4-CZ38</f>
        <v>85282168</v>
      </c>
      <c r="BE38" s="465">
        <f>'datos prec. compr.'!AB4-DA38</f>
        <v>79289824</v>
      </c>
      <c r="BF38" s="465">
        <f>'datos prec. compr.'!AC4-DB38</f>
        <v>0</v>
      </c>
      <c r="BG38" s="465">
        <f>'datos prec. compr.'!AD4-DC38</f>
        <v>519541600</v>
      </c>
      <c r="BH38" s="465">
        <f>'datos prec. compr.'!AE4-DD38</f>
        <v>135817456</v>
      </c>
      <c r="BI38" s="458"/>
      <c r="BJ38" s="458"/>
      <c r="BK38" s="455"/>
      <c r="BL38" s="455"/>
      <c r="BM38" s="455"/>
      <c r="BN38" s="458"/>
      <c r="BO38" s="458"/>
      <c r="BP38" s="455">
        <f t="shared" si="2"/>
        <v>43831248278</v>
      </c>
      <c r="BQ38" s="347">
        <v>43907005158</v>
      </c>
      <c r="BR38" s="418">
        <f t="shared" si="3"/>
        <v>75756880</v>
      </c>
      <c r="BS38" s="644"/>
      <c r="BT38" s="644"/>
      <c r="BU38" s="644"/>
      <c r="BV38" s="644"/>
      <c r="BW38" s="644"/>
      <c r="BX38" s="644"/>
      <c r="BY38" s="407"/>
      <c r="BZ38" s="407"/>
      <c r="CA38" s="407">
        <f>+AG73</f>
        <v>43831252050</v>
      </c>
      <c r="CB38" s="407"/>
      <c r="CC38" s="407"/>
      <c r="CD38" s="407"/>
      <c r="CE38" s="407"/>
      <c r="CF38" s="407"/>
      <c r="CG38" s="407"/>
      <c r="CH38" s="407"/>
      <c r="CI38" s="407"/>
      <c r="CJ38" s="407"/>
      <c r="CK38" s="407"/>
      <c r="CL38" s="407"/>
      <c r="CM38" s="407"/>
      <c r="CP38" s="411"/>
      <c r="CQ38" s="411"/>
      <c r="CR38" s="411">
        <f>SUM($O38:$U38)</f>
        <v>0</v>
      </c>
      <c r="CS38" s="411"/>
      <c r="CT38" s="411"/>
      <c r="CU38" s="411"/>
      <c r="CV38" s="411"/>
      <c r="CW38" s="411"/>
      <c r="CX38" s="411"/>
      <c r="CY38" s="411"/>
      <c r="CZ38" s="411"/>
      <c r="DA38" s="411"/>
      <c r="DB38" s="411"/>
      <c r="DC38" s="411"/>
      <c r="DD38" s="411"/>
    </row>
    <row r="39" spans="3:108" ht="15" customHeight="1" x14ac:dyDescent="0.45">
      <c r="C39" s="827"/>
      <c r="D39" s="828"/>
      <c r="E39" s="829"/>
      <c r="F39" s="347">
        <v>4</v>
      </c>
      <c r="G39" s="767">
        <f t="shared" si="4"/>
        <v>27</v>
      </c>
      <c r="H39" s="455"/>
      <c r="I39" s="455"/>
      <c r="J39" s="455"/>
      <c r="K39" s="455"/>
      <c r="L39" s="455"/>
      <c r="M39" s="455"/>
      <c r="N39" s="455"/>
      <c r="O39" s="463">
        <f>('precios bas.'!$A5-'precios bas.'!$G5)*[8]Hoja1!$T9*[8]Hoja1!C9</f>
        <v>364226241.9551785</v>
      </c>
      <c r="P39" s="463">
        <f>('precios bas.'!$A5-'precios bas.'!$G5)*[8]Hoja1!$T9*[8]Hoja1!D9</f>
        <v>148094865.4612096</v>
      </c>
      <c r="Q39" s="463">
        <f>('precios bas.'!$A5-'precios bas.'!$G5)*[8]Hoja1!$T9*[8]Hoja1!E9</f>
        <v>592466870.65488434</v>
      </c>
      <c r="R39" s="463">
        <f>('precios bas.'!$A5-'precios bas.'!$G5)*[8]Hoja1!$T9*[8]Hoja1!F9</f>
        <v>1020831082.6623278</v>
      </c>
      <c r="S39" s="463">
        <f>('precios bas.'!$A5-'precios bas.'!$G5)*[8]Hoja1!$T9*[8]Hoja1!G9</f>
        <v>232240389.75602078</v>
      </c>
      <c r="T39" s="463">
        <f>('precios bas.'!$A5-'precios bas.'!$G5)*[8]Hoja1!$T9*[8]Hoja1!H9</f>
        <v>269170703.07128763</v>
      </c>
      <c r="U39" s="463">
        <f>('precios bas.'!$A5-'precios bas.'!$G5)*[8]Hoja1!$T9*[8]Hoja1!I9</f>
        <v>529474700.19288617</v>
      </c>
      <c r="V39" s="458"/>
      <c r="W39" s="458"/>
      <c r="X39" s="458"/>
      <c r="Y39" s="458"/>
      <c r="Z39" s="458"/>
      <c r="AA39" s="458"/>
      <c r="AB39" s="458"/>
      <c r="AC39" s="458"/>
      <c r="AD39" s="455"/>
      <c r="AE39" s="464"/>
      <c r="AF39" s="464"/>
      <c r="AG39" s="464"/>
      <c r="AH39" s="464"/>
      <c r="AI39" s="464"/>
      <c r="AJ39" s="464"/>
      <c r="AK39" s="464"/>
      <c r="AL39" s="464"/>
      <c r="AM39" s="464"/>
      <c r="AN39" s="464"/>
      <c r="AO39" s="464"/>
      <c r="AP39" s="464"/>
      <c r="AQ39" s="464"/>
      <c r="AR39" s="464"/>
      <c r="AS39" s="464"/>
      <c r="AT39" s="465">
        <f>'datos prec. compr.'!Q5-CP39</f>
        <v>15683852</v>
      </c>
      <c r="AU39" s="465">
        <f>'datos prec. compr.'!R5-CQ39</f>
        <v>0</v>
      </c>
      <c r="AV39" s="465">
        <f>'datos prec. compr.'!S5-CR39</f>
        <v>0</v>
      </c>
      <c r="AW39" s="465">
        <f>'datos prec. compr.'!T5-CS39</f>
        <v>28403625706.246204</v>
      </c>
      <c r="AX39" s="465">
        <f>'datos prec. compr.'!U5-CT39</f>
        <v>13411283</v>
      </c>
      <c r="AY39" s="465">
        <f>'datos prec. compr.'!V5-CU39</f>
        <v>7759258</v>
      </c>
      <c r="AZ39" s="465">
        <f>'datos prec. compr.'!W5-CV39</f>
        <v>260615440</v>
      </c>
      <c r="BA39" s="465">
        <f>'datos prec. compr.'!X5-CW39</f>
        <v>252263360</v>
      </c>
      <c r="BB39" s="465">
        <f>'datos prec. compr.'!Y5-CX39</f>
        <v>148594000</v>
      </c>
      <c r="BC39" s="465">
        <f>'datos prec. compr.'!Z5-CY39</f>
        <v>0</v>
      </c>
      <c r="BD39" s="465">
        <f>'datos prec. compr.'!AA5-CZ39</f>
        <v>0</v>
      </c>
      <c r="BE39" s="465">
        <f>'datos prec. compr.'!AB5-DA39</f>
        <v>0</v>
      </c>
      <c r="BF39" s="465">
        <f>'datos prec. compr.'!AC5-DB39</f>
        <v>0</v>
      </c>
      <c r="BG39" s="465">
        <f>'datos prec. compr.'!AD5-DC39</f>
        <v>372801216</v>
      </c>
      <c r="BH39" s="465">
        <f>'datos prec. compr.'!AE5-DD39</f>
        <v>393609</v>
      </c>
      <c r="BI39" s="458"/>
      <c r="BJ39" s="458"/>
      <c r="BK39" s="455"/>
      <c r="BL39" s="455"/>
      <c r="BM39" s="455"/>
      <c r="BN39" s="458"/>
      <c r="BO39" s="458"/>
      <c r="BP39" s="455">
        <f t="shared" si="2"/>
        <v>32631652578</v>
      </c>
      <c r="BQ39" s="347">
        <v>32688052694</v>
      </c>
      <c r="BR39" s="418">
        <f t="shared" si="3"/>
        <v>56400116</v>
      </c>
      <c r="BS39" s="644"/>
      <c r="BT39" s="644"/>
      <c r="BU39" s="644"/>
      <c r="BV39" s="644"/>
      <c r="BW39" s="644"/>
      <c r="BX39" s="644"/>
      <c r="BY39" s="407"/>
      <c r="BZ39" s="407"/>
      <c r="CA39" s="407"/>
      <c r="CB39" s="407">
        <f>+AH73</f>
        <v>32631652588</v>
      </c>
      <c r="CC39" s="407"/>
      <c r="CD39" s="407"/>
      <c r="CE39" s="407"/>
      <c r="CF39" s="407"/>
      <c r="CG39" s="407"/>
      <c r="CH39" s="407"/>
      <c r="CI39" s="407"/>
      <c r="CJ39" s="407"/>
      <c r="CK39" s="407"/>
      <c r="CL39" s="407"/>
      <c r="CM39" s="407"/>
      <c r="CP39" s="411"/>
      <c r="CQ39" s="411"/>
      <c r="CR39" s="411"/>
      <c r="CS39" s="411">
        <f>SUM($O39:$U39)</f>
        <v>3156504853.7537951</v>
      </c>
      <c r="CT39" s="411"/>
      <c r="CU39" s="411"/>
      <c r="CV39" s="411"/>
      <c r="CW39" s="411"/>
      <c r="CX39" s="411"/>
      <c r="CY39" s="411"/>
      <c r="CZ39" s="411"/>
      <c r="DA39" s="411"/>
      <c r="DB39" s="411"/>
      <c r="DC39" s="411"/>
      <c r="DD39" s="411"/>
    </row>
    <row r="40" spans="3:108" ht="15" customHeight="1" x14ac:dyDescent="0.45">
      <c r="C40" s="827"/>
      <c r="D40" s="828"/>
      <c r="E40" s="829"/>
      <c r="F40" s="347">
        <v>5</v>
      </c>
      <c r="G40" s="767">
        <f t="shared" si="4"/>
        <v>28</v>
      </c>
      <c r="H40" s="455"/>
      <c r="I40" s="455"/>
      <c r="J40" s="455"/>
      <c r="K40" s="455"/>
      <c r="L40" s="455"/>
      <c r="M40" s="455"/>
      <c r="N40" s="455"/>
      <c r="O40" s="463">
        <f>('precios bas.'!$A6-'precios bas.'!$G6)*[8]Hoja1!$T10*[8]Hoja1!C10</f>
        <v>11581115.167105246</v>
      </c>
      <c r="P40" s="463">
        <f>('precios bas.'!$A6-'precios bas.'!$G6)*[8]Hoja1!$T10*[8]Hoja1!D10</f>
        <v>410082.26061160554</v>
      </c>
      <c r="Q40" s="463">
        <f>('precios bas.'!$A6-'precios bas.'!$G6)*[8]Hoja1!$T10*[8]Hoja1!E10</f>
        <v>5612364.4526525801</v>
      </c>
      <c r="R40" s="463">
        <f>('precios bas.'!$A6-'precios bas.'!$G6)*[8]Hoja1!$T10*[8]Hoja1!F10</f>
        <v>955695.17745257216</v>
      </c>
      <c r="S40" s="463">
        <f>('precios bas.'!$A6-'precios bas.'!$G6)*[8]Hoja1!$T10*[8]Hoja1!G10</f>
        <v>5067785.3111906303</v>
      </c>
      <c r="T40" s="463">
        <f>('precios bas.'!$A6-'precios bas.'!$G6)*[8]Hoja1!$T10*[8]Hoja1!H10</f>
        <v>1473333.7581317679</v>
      </c>
      <c r="U40" s="463">
        <f>('precios bas.'!$A6-'precios bas.'!$G6)*[8]Hoja1!$T10*[8]Hoja1!I10</f>
        <v>10550565.916081877</v>
      </c>
      <c r="V40" s="458"/>
      <c r="W40" s="458"/>
      <c r="X40" s="458"/>
      <c r="Y40" s="458"/>
      <c r="Z40" s="458"/>
      <c r="AA40" s="458"/>
      <c r="AB40" s="458"/>
      <c r="AC40" s="458"/>
      <c r="AD40" s="455"/>
      <c r="AE40" s="464"/>
      <c r="AF40" s="464"/>
      <c r="AG40" s="464"/>
      <c r="AH40" s="464"/>
      <c r="AI40" s="464"/>
      <c r="AJ40" s="464"/>
      <c r="AK40" s="464"/>
      <c r="AL40" s="464"/>
      <c r="AM40" s="464"/>
      <c r="AN40" s="464"/>
      <c r="AO40" s="464"/>
      <c r="AP40" s="464"/>
      <c r="AQ40" s="464"/>
      <c r="AR40" s="464"/>
      <c r="AS40" s="464"/>
      <c r="AT40" s="465">
        <f>'datos prec. compr.'!Q6-CP40</f>
        <v>869589</v>
      </c>
      <c r="AU40" s="465">
        <f>'datos prec. compr.'!R6-CQ40</f>
        <v>0</v>
      </c>
      <c r="AV40" s="465">
        <f>'datos prec. compr.'!S6-CR40</f>
        <v>0</v>
      </c>
      <c r="AW40" s="465">
        <f>'datos prec. compr.'!T6-CS40</f>
        <v>10958920</v>
      </c>
      <c r="AX40" s="465">
        <f>'datos prec. compr.'!U6-CT40</f>
        <v>15138912897.956774</v>
      </c>
      <c r="AY40" s="465">
        <f>'datos prec. compr.'!V6-CU40</f>
        <v>14485371</v>
      </c>
      <c r="AZ40" s="465">
        <f>'datos prec. compr.'!W6-CV40</f>
        <v>727384</v>
      </c>
      <c r="BA40" s="465">
        <f>'datos prec. compr.'!X6-CW40</f>
        <v>37110096</v>
      </c>
      <c r="BB40" s="465">
        <f>'datos prec. compr.'!Y6-CX40</f>
        <v>80651400</v>
      </c>
      <c r="BC40" s="465">
        <f>'datos prec. compr.'!Z6-CY40</f>
        <v>0</v>
      </c>
      <c r="BD40" s="465">
        <f>'datos prec. compr.'!AA6-CZ40</f>
        <v>0</v>
      </c>
      <c r="BE40" s="465">
        <f>'datos prec. compr.'!AB6-DA40</f>
        <v>0</v>
      </c>
      <c r="BF40" s="465">
        <f>'datos prec. compr.'!AC6-DB40</f>
        <v>0</v>
      </c>
      <c r="BG40" s="465">
        <f>'datos prec. compr.'!AD6-DC40</f>
        <v>179506496</v>
      </c>
      <c r="BH40" s="465">
        <f>'datos prec. compr.'!AE6-DD40</f>
        <v>0</v>
      </c>
      <c r="BI40" s="458"/>
      <c r="BJ40" s="458"/>
      <c r="BK40" s="455"/>
      <c r="BL40" s="455"/>
      <c r="BM40" s="455"/>
      <c r="BN40" s="458"/>
      <c r="BO40" s="458"/>
      <c r="BP40" s="455">
        <f t="shared" si="2"/>
        <v>15498873096</v>
      </c>
      <c r="BQ40" s="347">
        <v>15525659887</v>
      </c>
      <c r="BR40" s="418">
        <f t="shared" si="3"/>
        <v>26786791</v>
      </c>
      <c r="BS40" s="644"/>
      <c r="BT40" s="644"/>
      <c r="BU40" s="644"/>
      <c r="BV40" s="644"/>
      <c r="BW40" s="644"/>
      <c r="BX40" s="644"/>
      <c r="BY40" s="407"/>
      <c r="BZ40" s="407"/>
      <c r="CA40" s="407"/>
      <c r="CB40" s="407"/>
      <c r="CC40" s="407">
        <f>+AI73</f>
        <v>15498872889</v>
      </c>
      <c r="CD40" s="407"/>
      <c r="CE40" s="407"/>
      <c r="CF40" s="407"/>
      <c r="CG40" s="407"/>
      <c r="CH40" s="407"/>
      <c r="CI40" s="407"/>
      <c r="CJ40" s="407"/>
      <c r="CK40" s="407"/>
      <c r="CL40" s="407"/>
      <c r="CM40" s="407"/>
      <c r="CP40" s="411"/>
      <c r="CQ40" s="411"/>
      <c r="CR40" s="411"/>
      <c r="CS40" s="411"/>
      <c r="CT40" s="411">
        <f>SUM($O40:$U40)</f>
        <v>35650942.043226279</v>
      </c>
      <c r="CU40" s="411"/>
      <c r="CV40" s="411"/>
      <c r="CW40" s="411"/>
      <c r="CX40" s="411"/>
      <c r="CY40" s="411"/>
      <c r="CZ40" s="411"/>
      <c r="DA40" s="411"/>
      <c r="DB40" s="411"/>
      <c r="DC40" s="411"/>
      <c r="DD40" s="411"/>
    </row>
    <row r="41" spans="3:108" ht="15" customHeight="1" x14ac:dyDescent="0.45">
      <c r="C41" s="827"/>
      <c r="D41" s="828"/>
      <c r="E41" s="829"/>
      <c r="F41" s="347">
        <v>6</v>
      </c>
      <c r="G41" s="767">
        <f t="shared" si="4"/>
        <v>29</v>
      </c>
      <c r="H41" s="455"/>
      <c r="I41" s="455"/>
      <c r="J41" s="455"/>
      <c r="K41" s="455"/>
      <c r="L41" s="455"/>
      <c r="M41" s="455"/>
      <c r="N41" s="455"/>
      <c r="O41" s="463">
        <f>('precios bas.'!$A7-'precios bas.'!$G7)*[8]Hoja1!$T11*[8]Hoja1!C11</f>
        <v>24004289.609478001</v>
      </c>
      <c r="P41" s="463">
        <f>('precios bas.'!$A7-'precios bas.'!$G7)*[8]Hoja1!$T11*[8]Hoja1!D11</f>
        <v>5390364.4664457291</v>
      </c>
      <c r="Q41" s="463">
        <f>('precios bas.'!$A7-'precios bas.'!$G7)*[8]Hoja1!$T11*[8]Hoja1!E11</f>
        <v>24202578.908641111</v>
      </c>
      <c r="R41" s="463">
        <f>('precios bas.'!$A7-'precios bas.'!$G7)*[8]Hoja1!$T11*[8]Hoja1!F11</f>
        <v>10407530.622191504</v>
      </c>
      <c r="S41" s="463">
        <f>('precios bas.'!$A7-'precios bas.'!$G7)*[8]Hoja1!$T11*[8]Hoja1!G11</f>
        <v>9682116.0124868825</v>
      </c>
      <c r="T41" s="463">
        <f>('precios bas.'!$A7-'precios bas.'!$G7)*[8]Hoja1!$T11*[8]Hoja1!H11</f>
        <v>6950997.052887735</v>
      </c>
      <c r="U41" s="463">
        <f>('precios bas.'!$A7-'precios bas.'!$G7)*[8]Hoja1!$T11*[8]Hoja1!I11</f>
        <v>23889779.996831339</v>
      </c>
      <c r="V41" s="458"/>
      <c r="W41" s="458"/>
      <c r="X41" s="458"/>
      <c r="Y41" s="458"/>
      <c r="Z41" s="458"/>
      <c r="AA41" s="458"/>
      <c r="AB41" s="458"/>
      <c r="AC41" s="458"/>
      <c r="AD41" s="455"/>
      <c r="AE41" s="464"/>
      <c r="AF41" s="464"/>
      <c r="AG41" s="464"/>
      <c r="AH41" s="464"/>
      <c r="AI41" s="464"/>
      <c r="AJ41" s="464"/>
      <c r="AK41" s="464"/>
      <c r="AL41" s="464"/>
      <c r="AM41" s="464"/>
      <c r="AN41" s="464"/>
      <c r="AO41" s="464"/>
      <c r="AP41" s="464"/>
      <c r="AQ41" s="464"/>
      <c r="AR41" s="464"/>
      <c r="AS41" s="464"/>
      <c r="AT41" s="465">
        <f>'datos prec. compr.'!Q7-CP41</f>
        <v>0</v>
      </c>
      <c r="AU41" s="465">
        <f>'datos prec. compr.'!R7-CQ41</f>
        <v>0</v>
      </c>
      <c r="AV41" s="465">
        <f>'datos prec. compr.'!S7-CR41</f>
        <v>71656600</v>
      </c>
      <c r="AW41" s="465">
        <f>'datos prec. compr.'!T7-CS41</f>
        <v>0</v>
      </c>
      <c r="AX41" s="465">
        <f>'datos prec. compr.'!U7-CT41</f>
        <v>8999944</v>
      </c>
      <c r="AY41" s="465">
        <f>'datos prec. compr.'!V7-CU41</f>
        <v>25946847447.331039</v>
      </c>
      <c r="AZ41" s="465">
        <f>'datos prec. compr.'!W7-CV41</f>
        <v>46184100</v>
      </c>
      <c r="BA41" s="465">
        <f>'datos prec. compr.'!X7-CW41</f>
        <v>73878056</v>
      </c>
      <c r="BB41" s="465">
        <f>'datos prec. compr.'!Y7-CX41</f>
        <v>263150208</v>
      </c>
      <c r="BC41" s="465">
        <f>'datos prec. compr.'!Z7-CY41</f>
        <v>2605270</v>
      </c>
      <c r="BD41" s="465">
        <f>'datos prec. compr.'!AA7-CZ41</f>
        <v>0</v>
      </c>
      <c r="BE41" s="465">
        <f>'datos prec. compr.'!AB7-DA41</f>
        <v>49064</v>
      </c>
      <c r="BF41" s="465">
        <f>'datos prec. compr.'!AC7-DB41</f>
        <v>0</v>
      </c>
      <c r="BG41" s="465">
        <f>'datos prec. compr.'!AD7-DC41</f>
        <v>147773344</v>
      </c>
      <c r="BH41" s="465">
        <f>'datos prec. compr.'!AE7-DD41</f>
        <v>0</v>
      </c>
      <c r="BI41" s="458"/>
      <c r="BJ41" s="458"/>
      <c r="BK41" s="455"/>
      <c r="BL41" s="455"/>
      <c r="BM41" s="455"/>
      <c r="BN41" s="458"/>
      <c r="BO41" s="458"/>
      <c r="BP41" s="455">
        <f t="shared" si="2"/>
        <v>26665671690</v>
      </c>
      <c r="BQ41" s="347">
        <v>26711750383</v>
      </c>
      <c r="BR41" s="418">
        <f t="shared" si="3"/>
        <v>46078693</v>
      </c>
      <c r="BS41" s="644"/>
      <c r="BT41" s="644"/>
      <c r="BU41" s="644"/>
      <c r="BV41" s="644"/>
      <c r="BW41" s="644"/>
      <c r="BX41" s="644"/>
      <c r="BY41" s="407"/>
      <c r="BZ41" s="407"/>
      <c r="CA41" s="407"/>
      <c r="CB41" s="407"/>
      <c r="CC41" s="407"/>
      <c r="CD41" s="407">
        <f>+AJ73</f>
        <v>26665666349</v>
      </c>
      <c r="CE41" s="407"/>
      <c r="CF41" s="407"/>
      <c r="CG41" s="407"/>
      <c r="CH41" s="407"/>
      <c r="CI41" s="407"/>
      <c r="CJ41" s="407"/>
      <c r="CK41" s="407"/>
      <c r="CL41" s="407"/>
      <c r="CM41" s="407"/>
      <c r="CP41" s="411"/>
      <c r="CQ41" s="411"/>
      <c r="CR41" s="411"/>
      <c r="CS41" s="411"/>
      <c r="CT41" s="411"/>
      <c r="CU41" s="411">
        <f>SUM($O41:$U41)</f>
        <v>104527656.66896231</v>
      </c>
      <c r="CV41" s="411"/>
      <c r="CW41" s="411"/>
      <c r="CX41" s="411"/>
      <c r="CY41" s="411"/>
      <c r="CZ41" s="411"/>
      <c r="DA41" s="411"/>
      <c r="DB41" s="411"/>
      <c r="DC41" s="411"/>
      <c r="DD41" s="411"/>
    </row>
    <row r="42" spans="3:108" ht="15" customHeight="1" x14ac:dyDescent="0.45">
      <c r="C42" s="827"/>
      <c r="D42" s="828"/>
      <c r="E42" s="829"/>
      <c r="F42" s="347">
        <v>7</v>
      </c>
      <c r="G42" s="767">
        <f t="shared" si="4"/>
        <v>30</v>
      </c>
      <c r="H42" s="455"/>
      <c r="I42" s="455"/>
      <c r="J42" s="455"/>
      <c r="K42" s="455"/>
      <c r="L42" s="455"/>
      <c r="M42" s="455"/>
      <c r="N42" s="455"/>
      <c r="O42" s="463">
        <f>('precios bas.'!$A8-'precios bas.'!$G8)*[8]Hoja1!$T12*[8]Hoja1!C12</f>
        <v>0</v>
      </c>
      <c r="P42" s="463">
        <f>('precios bas.'!$A8-'precios bas.'!$G8)*[8]Hoja1!$T12*[8]Hoja1!D12</f>
        <v>0</v>
      </c>
      <c r="Q42" s="463">
        <f>('precios bas.'!$A8-'precios bas.'!$G8)*[8]Hoja1!$T12*[8]Hoja1!E12</f>
        <v>0</v>
      </c>
      <c r="R42" s="463">
        <f>('precios bas.'!$A8-'precios bas.'!$G8)*[8]Hoja1!$T12*[8]Hoja1!F12</f>
        <v>0</v>
      </c>
      <c r="S42" s="463">
        <f>('precios bas.'!$A8-'precios bas.'!$G8)*[8]Hoja1!$T12*[8]Hoja1!G12</f>
        <v>0</v>
      </c>
      <c r="T42" s="463">
        <f>('precios bas.'!$A8-'precios bas.'!$G8)*[8]Hoja1!$T12*[8]Hoja1!H12</f>
        <v>0</v>
      </c>
      <c r="U42" s="463">
        <f>('precios bas.'!$A8-'precios bas.'!$G8)*[8]Hoja1!$T12*[8]Hoja1!I12</f>
        <v>0</v>
      </c>
      <c r="V42" s="458"/>
      <c r="W42" s="458"/>
      <c r="X42" s="458"/>
      <c r="Y42" s="458"/>
      <c r="Z42" s="458"/>
      <c r="AA42" s="458"/>
      <c r="AB42" s="458"/>
      <c r="AC42" s="458"/>
      <c r="AD42" s="455"/>
      <c r="AE42" s="464"/>
      <c r="AF42" s="464"/>
      <c r="AG42" s="464"/>
      <c r="AH42" s="464"/>
      <c r="AI42" s="464"/>
      <c r="AJ42" s="464"/>
      <c r="AK42" s="464"/>
      <c r="AL42" s="464"/>
      <c r="AM42" s="464"/>
      <c r="AN42" s="464"/>
      <c r="AO42" s="464"/>
      <c r="AP42" s="464"/>
      <c r="AQ42" s="464"/>
      <c r="AR42" s="464"/>
      <c r="AS42" s="464"/>
      <c r="AT42" s="465">
        <f>'datos prec. compr.'!Q8-CP42</f>
        <v>0</v>
      </c>
      <c r="AU42" s="465">
        <f>'datos prec. compr.'!R8-CQ42</f>
        <v>0</v>
      </c>
      <c r="AV42" s="465">
        <f>'datos prec. compr.'!S8-CR42</f>
        <v>3354991</v>
      </c>
      <c r="AW42" s="465">
        <f>'datos prec. compr.'!T8-CS42</f>
        <v>69773264</v>
      </c>
      <c r="AX42" s="465">
        <f>'datos prec. compr.'!U8-CT42</f>
        <v>177463</v>
      </c>
      <c r="AY42" s="465">
        <f>'datos prec. compr.'!V8-CU42</f>
        <v>189139120</v>
      </c>
      <c r="AZ42" s="465">
        <f>'datos prec. compr.'!W8-CV42</f>
        <v>13475708928</v>
      </c>
      <c r="BA42" s="465">
        <f>'datos prec. compr.'!X8-CW42</f>
        <v>75745192</v>
      </c>
      <c r="BB42" s="465">
        <f>'datos prec. compr.'!Y8-CX42</f>
        <v>204404544</v>
      </c>
      <c r="BC42" s="465">
        <f>'datos prec. compr.'!Z8-CY42</f>
        <v>949254</v>
      </c>
      <c r="BD42" s="465">
        <f>'datos prec. compr.'!AA8-CZ42</f>
        <v>0</v>
      </c>
      <c r="BE42" s="465">
        <f>'datos prec. compr.'!AB8-DA42</f>
        <v>0</v>
      </c>
      <c r="BF42" s="465">
        <f>'datos prec. compr.'!AC8-DB42</f>
        <v>0</v>
      </c>
      <c r="BG42" s="465">
        <f>'datos prec. compr.'!AD8-DC42</f>
        <v>265423952</v>
      </c>
      <c r="BH42" s="465">
        <f>'datos prec. compr.'!AE8-DD42</f>
        <v>0</v>
      </c>
      <c r="BI42" s="458"/>
      <c r="BJ42" s="458"/>
      <c r="BK42" s="455"/>
      <c r="BL42" s="455"/>
      <c r="BM42" s="455"/>
      <c r="BN42" s="458"/>
      <c r="BO42" s="458"/>
      <c r="BP42" s="455">
        <f t="shared" si="2"/>
        <v>14284676708</v>
      </c>
      <c r="BQ42" s="347">
        <v>14309364507</v>
      </c>
      <c r="BR42" s="418">
        <f t="shared" si="3"/>
        <v>24687799</v>
      </c>
      <c r="BS42" s="644"/>
      <c r="BT42" s="644"/>
      <c r="BU42" s="644"/>
      <c r="BV42" s="644"/>
      <c r="BW42" s="644"/>
      <c r="BX42" s="644"/>
      <c r="BY42" s="407"/>
      <c r="BZ42" s="407"/>
      <c r="CA42" s="407"/>
      <c r="CB42" s="407"/>
      <c r="CC42" s="407"/>
      <c r="CD42" s="407"/>
      <c r="CE42" s="407">
        <f>+AK73</f>
        <v>14284676544</v>
      </c>
      <c r="CF42" s="407"/>
      <c r="CG42" s="407"/>
      <c r="CH42" s="407"/>
      <c r="CI42" s="407"/>
      <c r="CJ42" s="407"/>
      <c r="CK42" s="407"/>
      <c r="CL42" s="407"/>
      <c r="CM42" s="407"/>
      <c r="CP42" s="411"/>
      <c r="CQ42" s="411"/>
      <c r="CR42" s="411"/>
      <c r="CS42" s="411"/>
      <c r="CT42" s="411"/>
      <c r="CU42" s="411"/>
      <c r="CV42" s="411">
        <f>SUM($O42:$U42)</f>
        <v>0</v>
      </c>
      <c r="CW42" s="411"/>
      <c r="CX42" s="411"/>
      <c r="CY42" s="411"/>
      <c r="CZ42" s="411"/>
      <c r="DA42" s="411"/>
      <c r="DB42" s="411"/>
      <c r="DC42" s="411"/>
      <c r="DD42" s="411"/>
    </row>
    <row r="43" spans="3:108" ht="15" customHeight="1" x14ac:dyDescent="0.45">
      <c r="C43" s="827"/>
      <c r="D43" s="828"/>
      <c r="E43" s="829"/>
      <c r="F43" s="347">
        <v>8</v>
      </c>
      <c r="G43" s="767">
        <f t="shared" si="4"/>
        <v>31</v>
      </c>
      <c r="H43" s="455"/>
      <c r="I43" s="455"/>
      <c r="J43" s="455"/>
      <c r="K43" s="455"/>
      <c r="L43" s="455"/>
      <c r="M43" s="455"/>
      <c r="N43" s="455"/>
      <c r="O43" s="463">
        <f>('precios bas.'!$A9-'precios bas.'!$G9)*[8]Hoja1!$T13*[8]Hoja1!C13</f>
        <v>0</v>
      </c>
      <c r="P43" s="463">
        <f>('precios bas.'!$A9-'precios bas.'!$G9)*[8]Hoja1!$T13*[8]Hoja1!D13</f>
        <v>0</v>
      </c>
      <c r="Q43" s="463">
        <f>('precios bas.'!$A9-'precios bas.'!$G9)*[8]Hoja1!$T13*[8]Hoja1!E13</f>
        <v>0</v>
      </c>
      <c r="R43" s="463">
        <f>('precios bas.'!$A9-'precios bas.'!$G9)*[8]Hoja1!$T13*[8]Hoja1!F13</f>
        <v>0</v>
      </c>
      <c r="S43" s="463">
        <f>('precios bas.'!$A9-'precios bas.'!$G9)*[8]Hoja1!$T13*[8]Hoja1!G13</f>
        <v>0</v>
      </c>
      <c r="T43" s="463">
        <f>('precios bas.'!$A9-'precios bas.'!$G9)*[8]Hoja1!$T13*[8]Hoja1!H13</f>
        <v>0</v>
      </c>
      <c r="U43" s="463">
        <f>('precios bas.'!$A9-'precios bas.'!$G9)*[8]Hoja1!$T13*[8]Hoja1!I13</f>
        <v>0</v>
      </c>
      <c r="V43" s="458"/>
      <c r="W43" s="458"/>
      <c r="X43" s="458"/>
      <c r="Y43" s="458"/>
      <c r="Z43" s="458"/>
      <c r="AA43" s="458"/>
      <c r="AB43" s="458"/>
      <c r="AC43" s="458"/>
      <c r="AD43" s="455"/>
      <c r="AE43" s="464"/>
      <c r="AF43" s="464"/>
      <c r="AG43" s="464"/>
      <c r="AH43" s="464"/>
      <c r="AI43" s="464"/>
      <c r="AJ43" s="464"/>
      <c r="AK43" s="464"/>
      <c r="AL43" s="464"/>
      <c r="AM43" s="464"/>
      <c r="AN43" s="464"/>
      <c r="AO43" s="464"/>
      <c r="AP43" s="464"/>
      <c r="AQ43" s="464"/>
      <c r="AR43" s="464"/>
      <c r="AS43" s="464"/>
      <c r="AT43" s="465">
        <f>'datos prec. compr.'!Q9-CP43</f>
        <v>0</v>
      </c>
      <c r="AU43" s="465">
        <f>'datos prec. compr.'!R9-CQ43</f>
        <v>0</v>
      </c>
      <c r="AV43" s="465">
        <f>'datos prec. compr.'!S9-CR43</f>
        <v>0</v>
      </c>
      <c r="AW43" s="465">
        <f>'datos prec. compr.'!T9-CS43</f>
        <v>0</v>
      </c>
      <c r="AX43" s="465">
        <f>'datos prec. compr.'!U9-CT43</f>
        <v>0</v>
      </c>
      <c r="AY43" s="465">
        <f>'datos prec. compr.'!V9-CU43</f>
        <v>50477232</v>
      </c>
      <c r="AZ43" s="465">
        <f>'datos prec. compr.'!W9-CV43</f>
        <v>0</v>
      </c>
      <c r="BA43" s="465">
        <f>'datos prec. compr.'!X9-CW43</f>
        <v>22948540416</v>
      </c>
      <c r="BB43" s="465">
        <f>'datos prec. compr.'!Y9-CX43</f>
        <v>28166068</v>
      </c>
      <c r="BC43" s="465">
        <f>'datos prec. compr.'!Z9-CY43</f>
        <v>862166</v>
      </c>
      <c r="BD43" s="465">
        <f>'datos prec. compr.'!AA9-CZ43</f>
        <v>0</v>
      </c>
      <c r="BE43" s="465">
        <f>'datos prec. compr.'!AB9-DA43</f>
        <v>0</v>
      </c>
      <c r="BF43" s="465">
        <f>'datos prec. compr.'!AC9-DB43</f>
        <v>0</v>
      </c>
      <c r="BG43" s="465">
        <f>'datos prec. compr.'!AD9-DC43</f>
        <v>795420224</v>
      </c>
      <c r="BH43" s="465">
        <f>'datos prec. compr.'!AE9-DD43</f>
        <v>0</v>
      </c>
      <c r="BI43" s="458"/>
      <c r="BJ43" s="458"/>
      <c r="BK43" s="455"/>
      <c r="BL43" s="455"/>
      <c r="BM43" s="455"/>
      <c r="BN43" s="458"/>
      <c r="BO43" s="458"/>
      <c r="BP43" s="455">
        <f t="shared" si="2"/>
        <v>23823466106</v>
      </c>
      <c r="BQ43" s="347">
        <v>23864638963</v>
      </c>
      <c r="BR43" s="418">
        <f t="shared" si="3"/>
        <v>41172857</v>
      </c>
      <c r="BS43" s="644"/>
      <c r="BT43" s="644"/>
      <c r="BU43" s="644"/>
      <c r="BV43" s="644"/>
      <c r="BW43" s="644"/>
      <c r="BX43" s="644"/>
      <c r="BY43" s="407"/>
      <c r="BZ43" s="407"/>
      <c r="CA43" s="407"/>
      <c r="CB43" s="407"/>
      <c r="CC43" s="407"/>
      <c r="CD43" s="407"/>
      <c r="CE43" s="407"/>
      <c r="CF43" s="407">
        <f>+AL73</f>
        <v>23823465561</v>
      </c>
      <c r="CG43" s="407"/>
      <c r="CH43" s="407"/>
      <c r="CI43" s="407"/>
      <c r="CJ43" s="407"/>
      <c r="CK43" s="407"/>
      <c r="CL43" s="407"/>
      <c r="CM43" s="407"/>
      <c r="CP43" s="411"/>
      <c r="CQ43" s="411"/>
      <c r="CR43" s="411"/>
      <c r="CS43" s="411"/>
      <c r="CT43" s="411"/>
      <c r="CU43" s="411"/>
      <c r="CV43" s="411"/>
      <c r="CW43" s="411">
        <f>SUM($O43:$U43)</f>
        <v>0</v>
      </c>
      <c r="CX43" s="411"/>
      <c r="CY43" s="411"/>
      <c r="CZ43" s="411"/>
      <c r="DA43" s="411"/>
      <c r="DB43" s="411"/>
      <c r="DC43" s="411"/>
      <c r="DD43" s="411"/>
    </row>
    <row r="44" spans="3:108" ht="15" customHeight="1" x14ac:dyDescent="0.45">
      <c r="C44" s="827"/>
      <c r="D44" s="828"/>
      <c r="E44" s="829"/>
      <c r="F44" s="347">
        <v>9</v>
      </c>
      <c r="G44" s="767">
        <f t="shared" si="4"/>
        <v>32</v>
      </c>
      <c r="H44" s="455"/>
      <c r="I44" s="455"/>
      <c r="J44" s="455"/>
      <c r="K44" s="455"/>
      <c r="L44" s="455"/>
      <c r="M44" s="455"/>
      <c r="N44" s="455"/>
      <c r="O44" s="463">
        <f>('precios bas.'!$A10-'precios bas.'!$G10)*[8]Hoja1!$T14*[8]Hoja1!C14</f>
        <v>0</v>
      </c>
      <c r="P44" s="463">
        <f>('precios bas.'!$A10-'precios bas.'!$G10)*[8]Hoja1!$T14*[8]Hoja1!D14</f>
        <v>0</v>
      </c>
      <c r="Q44" s="463">
        <f>('precios bas.'!$A10-'precios bas.'!$G10)*[8]Hoja1!$T14*[8]Hoja1!E14</f>
        <v>0</v>
      </c>
      <c r="R44" s="463">
        <f>('precios bas.'!$A10-'precios bas.'!$G10)*[8]Hoja1!$T14*[8]Hoja1!F14</f>
        <v>0</v>
      </c>
      <c r="S44" s="463">
        <f>('precios bas.'!$A10-'precios bas.'!$G10)*[8]Hoja1!$T14*[8]Hoja1!G14</f>
        <v>0</v>
      </c>
      <c r="T44" s="463">
        <f>('precios bas.'!$A10-'precios bas.'!$G10)*[8]Hoja1!$T14*[8]Hoja1!H14</f>
        <v>0</v>
      </c>
      <c r="U44" s="463">
        <f>('precios bas.'!$A10-'precios bas.'!$G10)*[8]Hoja1!$T14*[8]Hoja1!I14</f>
        <v>0</v>
      </c>
      <c r="V44" s="458"/>
      <c r="W44" s="458"/>
      <c r="X44" s="458"/>
      <c r="Y44" s="458"/>
      <c r="Z44" s="458"/>
      <c r="AA44" s="458"/>
      <c r="AB44" s="458"/>
      <c r="AC44" s="458"/>
      <c r="AD44" s="455"/>
      <c r="AE44" s="464"/>
      <c r="AF44" s="464"/>
      <c r="AG44" s="464"/>
      <c r="AH44" s="464"/>
      <c r="AI44" s="464"/>
      <c r="AJ44" s="464"/>
      <c r="AK44" s="464"/>
      <c r="AL44" s="464"/>
      <c r="AM44" s="464"/>
      <c r="AN44" s="464"/>
      <c r="AO44" s="464"/>
      <c r="AP44" s="464"/>
      <c r="AQ44" s="464"/>
      <c r="AR44" s="464"/>
      <c r="AS44" s="464"/>
      <c r="AT44" s="465">
        <f>'datos prec. compr.'!Q10-CP44</f>
        <v>0</v>
      </c>
      <c r="AU44" s="465">
        <f>'datos prec. compr.'!R10-CQ44</f>
        <v>0</v>
      </c>
      <c r="AV44" s="465">
        <f>'datos prec. compr.'!S10-CR44</f>
        <v>0</v>
      </c>
      <c r="AW44" s="465">
        <f>'datos prec. compr.'!T10-CS44</f>
        <v>0</v>
      </c>
      <c r="AX44" s="465">
        <f>'datos prec. compr.'!U10-CT44</f>
        <v>0</v>
      </c>
      <c r="AY44" s="465">
        <f>'datos prec. compr.'!V10-CU44</f>
        <v>61062576</v>
      </c>
      <c r="AZ44" s="465">
        <f>'datos prec. compr.'!W10-CV44</f>
        <v>5068450</v>
      </c>
      <c r="BA44" s="465">
        <f>'datos prec. compr.'!X10-CW44</f>
        <v>23266942</v>
      </c>
      <c r="BB44" s="465">
        <f>'datos prec. compr.'!Y10-CX44</f>
        <v>46083428352</v>
      </c>
      <c r="BC44" s="465">
        <f>'datos prec. compr.'!Z10-CY44</f>
        <v>2284911</v>
      </c>
      <c r="BD44" s="465">
        <f>'datos prec. compr.'!AA10-CZ44</f>
        <v>0</v>
      </c>
      <c r="BE44" s="465">
        <f>'datos prec. compr.'!AB10-DA44</f>
        <v>0</v>
      </c>
      <c r="BF44" s="465">
        <f>'datos prec. compr.'!AC10-DB44</f>
        <v>0</v>
      </c>
      <c r="BG44" s="465">
        <f>'datos prec. compr.'!AD10-DC44</f>
        <v>139589392</v>
      </c>
      <c r="BH44" s="465">
        <f>'datos prec. compr.'!AE10-DD44</f>
        <v>13081495</v>
      </c>
      <c r="BI44" s="458"/>
      <c r="BJ44" s="458"/>
      <c r="BK44" s="455"/>
      <c r="BL44" s="455"/>
      <c r="BM44" s="455"/>
      <c r="BN44" s="458"/>
      <c r="BO44" s="458"/>
      <c r="BP44" s="455">
        <f t="shared" si="2"/>
        <v>46327782118</v>
      </c>
      <c r="BQ44" s="347">
        <v>46407847776</v>
      </c>
      <c r="BR44" s="418">
        <f t="shared" si="3"/>
        <v>80065658</v>
      </c>
      <c r="BS44" s="644"/>
      <c r="BT44" s="644"/>
      <c r="BU44" s="644"/>
      <c r="BV44" s="644"/>
      <c r="BW44" s="644"/>
      <c r="BX44" s="644"/>
      <c r="BY44" s="407"/>
      <c r="BZ44" s="407"/>
      <c r="CA44" s="407"/>
      <c r="CB44" s="407"/>
      <c r="CC44" s="407"/>
      <c r="CD44" s="407"/>
      <c r="CE44" s="407"/>
      <c r="CF44" s="407"/>
      <c r="CG44" s="407">
        <f>+AM73</f>
        <v>46327781512</v>
      </c>
      <c r="CH44" s="407"/>
      <c r="CI44" s="407"/>
      <c r="CJ44" s="407"/>
      <c r="CK44" s="407"/>
      <c r="CL44" s="407"/>
      <c r="CM44" s="407"/>
      <c r="CP44" s="411"/>
      <c r="CQ44" s="411"/>
      <c r="CR44" s="411"/>
      <c r="CS44" s="411"/>
      <c r="CT44" s="411"/>
      <c r="CU44" s="411"/>
      <c r="CV44" s="411"/>
      <c r="CW44" s="411"/>
      <c r="CX44" s="411">
        <f>SUM($O44:$U44)</f>
        <v>0</v>
      </c>
      <c r="CY44" s="411"/>
      <c r="CZ44" s="411"/>
      <c r="DA44" s="411"/>
      <c r="DB44" s="411"/>
      <c r="DC44" s="411"/>
      <c r="DD44" s="411"/>
    </row>
    <row r="45" spans="3:108" ht="15" customHeight="1" x14ac:dyDescent="0.45">
      <c r="C45" s="827"/>
      <c r="D45" s="828"/>
      <c r="E45" s="829"/>
      <c r="F45" s="347">
        <v>10</v>
      </c>
      <c r="G45" s="767">
        <f t="shared" si="4"/>
        <v>33</v>
      </c>
      <c r="H45" s="455"/>
      <c r="I45" s="455"/>
      <c r="J45" s="455"/>
      <c r="K45" s="455"/>
      <c r="L45" s="455"/>
      <c r="M45" s="455"/>
      <c r="N45" s="455"/>
      <c r="O45" s="463">
        <f>('precios bas.'!$A11-'precios bas.'!$G11)*[8]Hoja1!$T15*[8]Hoja1!C15</f>
        <v>2979789.7200304521</v>
      </c>
      <c r="P45" s="463">
        <f>('precios bas.'!$A11-'precios bas.'!$G11)*[8]Hoja1!$T15*[8]Hoja1!D15</f>
        <v>21185.233656092016</v>
      </c>
      <c r="Q45" s="463">
        <f>('precios bas.'!$A11-'precios bas.'!$G11)*[8]Hoja1!$T15*[8]Hoja1!E15</f>
        <v>987643.26830415952</v>
      </c>
      <c r="R45" s="463">
        <f>('precios bas.'!$A11-'precios bas.'!$G11)*[8]Hoja1!$T15*[8]Hoja1!F15</f>
        <v>387216.77226196113</v>
      </c>
      <c r="S45" s="463">
        <f>('precios bas.'!$A11-'precios bas.'!$G11)*[8]Hoja1!$T15*[8]Hoja1!G15</f>
        <v>95255.272680257127</v>
      </c>
      <c r="T45" s="463">
        <f>('precios bas.'!$A11-'precios bas.'!$G11)*[8]Hoja1!$T15*[8]Hoja1!H15</f>
        <v>181007.16931950315</v>
      </c>
      <c r="U45" s="463">
        <f>('precios bas.'!$A11-'precios bas.'!$G11)*[8]Hoja1!$T15*[8]Hoja1!I15</f>
        <v>2214216.6663123798</v>
      </c>
      <c r="V45" s="458"/>
      <c r="W45" s="458"/>
      <c r="X45" s="458"/>
      <c r="Y45" s="458"/>
      <c r="Z45" s="458"/>
      <c r="AA45" s="458"/>
      <c r="AB45" s="458"/>
      <c r="AC45" s="458"/>
      <c r="AD45" s="455"/>
      <c r="AE45" s="464"/>
      <c r="AF45" s="464"/>
      <c r="AG45" s="464"/>
      <c r="AH45" s="464"/>
      <c r="AI45" s="464"/>
      <c r="AJ45" s="464"/>
      <c r="AK45" s="464"/>
      <c r="AL45" s="464"/>
      <c r="AM45" s="464"/>
      <c r="AN45" s="464"/>
      <c r="AO45" s="464"/>
      <c r="AP45" s="464"/>
      <c r="AQ45" s="464"/>
      <c r="AR45" s="464"/>
      <c r="AS45" s="464"/>
      <c r="AT45" s="465">
        <f>'datos prec. compr.'!Q11-CP45</f>
        <v>0</v>
      </c>
      <c r="AU45" s="465">
        <f>'datos prec. compr.'!R11-CQ45</f>
        <v>0</v>
      </c>
      <c r="AV45" s="465">
        <f>'datos prec. compr.'!S11-CR45</f>
        <v>0</v>
      </c>
      <c r="AW45" s="465">
        <f>'datos prec. compr.'!T11-CS45</f>
        <v>0</v>
      </c>
      <c r="AX45" s="465">
        <f>'datos prec. compr.'!U11-CT45</f>
        <v>0</v>
      </c>
      <c r="AY45" s="465">
        <f>'datos prec. compr.'!V11-CU45</f>
        <v>2889697</v>
      </c>
      <c r="AZ45" s="465">
        <f>'datos prec. compr.'!W11-CV45</f>
        <v>412139</v>
      </c>
      <c r="BA45" s="465">
        <f>'datos prec. compr.'!X11-CW45</f>
        <v>651516160</v>
      </c>
      <c r="BB45" s="465">
        <f>'datos prec. compr.'!Y11-CX45</f>
        <v>21650290</v>
      </c>
      <c r="BC45" s="465">
        <f>'datos prec. compr.'!Z11-CY45</f>
        <v>33482795637.897434</v>
      </c>
      <c r="BD45" s="465">
        <f>'datos prec. compr.'!AA11-CZ45</f>
        <v>0</v>
      </c>
      <c r="BE45" s="465">
        <f>'datos prec. compr.'!AB11-DA45</f>
        <v>0</v>
      </c>
      <c r="BF45" s="465">
        <f>'datos prec. compr.'!AC11-DB45</f>
        <v>0</v>
      </c>
      <c r="BG45" s="465">
        <f>'datos prec. compr.'!AD11-DC45</f>
        <v>67781800</v>
      </c>
      <c r="BH45" s="465">
        <f>'datos prec. compr.'!AE11-DD45</f>
        <v>33440</v>
      </c>
      <c r="BI45" s="458"/>
      <c r="BJ45" s="458"/>
      <c r="BK45" s="455"/>
      <c r="BL45" s="455"/>
      <c r="BM45" s="455"/>
      <c r="BN45" s="458"/>
      <c r="BO45" s="458"/>
      <c r="BP45" s="455">
        <f t="shared" si="2"/>
        <v>34233945478</v>
      </c>
      <c r="BQ45" s="347">
        <v>34293111162</v>
      </c>
      <c r="BR45" s="418">
        <f t="shared" si="3"/>
        <v>59165684</v>
      </c>
      <c r="BS45" s="644"/>
      <c r="BT45" s="644"/>
      <c r="BU45" s="644"/>
      <c r="BV45" s="644"/>
      <c r="BW45" s="644"/>
      <c r="BX45" s="644"/>
      <c r="BY45" s="407"/>
      <c r="BZ45" s="407"/>
      <c r="CA45" s="407"/>
      <c r="CB45" s="407"/>
      <c r="CC45" s="407"/>
      <c r="CD45" s="407"/>
      <c r="CE45" s="407"/>
      <c r="CF45" s="407"/>
      <c r="CG45" s="407"/>
      <c r="CH45" s="407">
        <f>+AN73</f>
        <v>34233947592</v>
      </c>
      <c r="CI45" s="407"/>
      <c r="CJ45" s="407"/>
      <c r="CK45" s="407"/>
      <c r="CL45" s="407"/>
      <c r="CM45" s="407"/>
      <c r="CP45" s="411"/>
      <c r="CQ45" s="411"/>
      <c r="CR45" s="411"/>
      <c r="CS45" s="411"/>
      <c r="CT45" s="411"/>
      <c r="CU45" s="411"/>
      <c r="CV45" s="411"/>
      <c r="CW45" s="411"/>
      <c r="CX45" s="411"/>
      <c r="CY45" s="411">
        <f>SUM($O45:$U45)</f>
        <v>6866314.1025648052</v>
      </c>
      <c r="CZ45" s="411"/>
      <c r="DA45" s="411"/>
      <c r="DB45" s="411"/>
      <c r="DC45" s="411"/>
      <c r="DD45" s="411"/>
    </row>
    <row r="46" spans="3:108" ht="15" customHeight="1" x14ac:dyDescent="0.45">
      <c r="C46" s="827"/>
      <c r="D46" s="828"/>
      <c r="E46" s="829"/>
      <c r="F46" s="347">
        <v>11</v>
      </c>
      <c r="G46" s="767">
        <f t="shared" si="4"/>
        <v>34</v>
      </c>
      <c r="H46" s="455"/>
      <c r="I46" s="455"/>
      <c r="J46" s="455"/>
      <c r="K46" s="455"/>
      <c r="L46" s="455"/>
      <c r="M46" s="455"/>
      <c r="N46" s="455"/>
      <c r="O46" s="463">
        <f>('precios bas.'!$A12-'precios bas.'!$G12)*[8]Hoja1!$T16*[8]Hoja1!C16</f>
        <v>3353857.0800542491</v>
      </c>
      <c r="P46" s="463">
        <f>('precios bas.'!$A12-'precios bas.'!$G12)*[8]Hoja1!$T16*[8]Hoja1!D16</f>
        <v>662589.94945421966</v>
      </c>
      <c r="Q46" s="463">
        <f>('precios bas.'!$A12-'precios bas.'!$G12)*[8]Hoja1!$T16*[8]Hoja1!E16</f>
        <v>1865166.4751635806</v>
      </c>
      <c r="R46" s="463">
        <f>('precios bas.'!$A12-'precios bas.'!$G12)*[8]Hoja1!$T16*[8]Hoja1!F16</f>
        <v>829380.57969726797</v>
      </c>
      <c r="S46" s="463">
        <f>('precios bas.'!$A12-'precios bas.'!$G12)*[8]Hoja1!$T16*[8]Hoja1!G16</f>
        <v>1235674.1656030286</v>
      </c>
      <c r="T46" s="463">
        <f>('precios bas.'!$A12-'precios bas.'!$G12)*[8]Hoja1!$T16*[8]Hoja1!H16</f>
        <v>436376.67945232918</v>
      </c>
      <c r="U46" s="463">
        <f>('precios bas.'!$A12-'precios bas.'!$G12)*[8]Hoja1!$T16*[8]Hoja1!I16</f>
        <v>2513854.0461700023</v>
      </c>
      <c r="V46" s="458"/>
      <c r="W46" s="458"/>
      <c r="X46" s="458"/>
      <c r="Y46" s="458"/>
      <c r="Z46" s="458"/>
      <c r="AA46" s="458"/>
      <c r="AB46" s="458"/>
      <c r="AC46" s="458"/>
      <c r="AD46" s="455"/>
      <c r="AE46" s="464"/>
      <c r="AF46" s="464"/>
      <c r="AG46" s="464"/>
      <c r="AH46" s="464"/>
      <c r="AI46" s="464"/>
      <c r="AJ46" s="464"/>
      <c r="AK46" s="464"/>
      <c r="AL46" s="464"/>
      <c r="AM46" s="464"/>
      <c r="AN46" s="464"/>
      <c r="AO46" s="464"/>
      <c r="AP46" s="464"/>
      <c r="AQ46" s="464"/>
      <c r="AR46" s="464"/>
      <c r="AS46" s="464"/>
      <c r="AT46" s="465">
        <f>'datos prec. compr.'!Q12-CP46</f>
        <v>0</v>
      </c>
      <c r="AU46" s="465">
        <f>'datos prec. compr.'!R12-CQ46</f>
        <v>0</v>
      </c>
      <c r="AV46" s="465">
        <f>'datos prec. compr.'!S12-CR46</f>
        <v>0</v>
      </c>
      <c r="AW46" s="465">
        <f>'datos prec. compr.'!T12-CS46</f>
        <v>0</v>
      </c>
      <c r="AX46" s="465">
        <f>'datos prec. compr.'!U12-CT46</f>
        <v>0</v>
      </c>
      <c r="AY46" s="465">
        <f>'datos prec. compr.'!V12-CU46</f>
        <v>0</v>
      </c>
      <c r="AZ46" s="465">
        <f>'datos prec. compr.'!W12-CV46</f>
        <v>0</v>
      </c>
      <c r="BA46" s="465">
        <f>'datos prec. compr.'!X12-CW46</f>
        <v>2048160</v>
      </c>
      <c r="BB46" s="465">
        <f>'datos prec. compr.'!Y12-CX46</f>
        <v>88619312</v>
      </c>
      <c r="BC46" s="465">
        <f>'datos prec. compr.'!Z12-CY46</f>
        <v>0</v>
      </c>
      <c r="BD46" s="465">
        <f>'datos prec. compr.'!AA12-CZ46</f>
        <v>6361663997.0244055</v>
      </c>
      <c r="BE46" s="465">
        <f>'datos prec. compr.'!AB12-DA46</f>
        <v>0</v>
      </c>
      <c r="BF46" s="465">
        <f>'datos prec. compr.'!AC12-DB46</f>
        <v>0</v>
      </c>
      <c r="BG46" s="465">
        <f>'datos prec. compr.'!AD12-DC46</f>
        <v>1388056</v>
      </c>
      <c r="BH46" s="465">
        <f>'datos prec. compr.'!AE12-DD46</f>
        <v>0</v>
      </c>
      <c r="BI46" s="458"/>
      <c r="BJ46" s="458"/>
      <c r="BK46" s="455"/>
      <c r="BL46" s="455"/>
      <c r="BM46" s="455"/>
      <c r="BN46" s="458"/>
      <c r="BO46" s="458"/>
      <c r="BP46" s="455">
        <f t="shared" si="2"/>
        <v>6464616424</v>
      </c>
      <c r="BQ46" s="347">
        <v>6475789339</v>
      </c>
      <c r="BR46" s="418">
        <f t="shared" si="3"/>
        <v>11172915</v>
      </c>
      <c r="BS46" s="644"/>
      <c r="BT46" s="644"/>
      <c r="BU46" s="644"/>
      <c r="BV46" s="644"/>
      <c r="BW46" s="644"/>
      <c r="BX46" s="644"/>
      <c r="BY46" s="407"/>
      <c r="BZ46" s="407"/>
      <c r="CA46" s="407"/>
      <c r="CB46" s="407"/>
      <c r="CC46" s="407"/>
      <c r="CD46" s="407"/>
      <c r="CE46" s="407"/>
      <c r="CF46" s="407"/>
      <c r="CG46" s="407"/>
      <c r="CH46" s="407"/>
      <c r="CI46" s="407">
        <f>+AO73</f>
        <v>6464616600</v>
      </c>
      <c r="CJ46" s="407"/>
      <c r="CK46" s="407"/>
      <c r="CL46" s="407"/>
      <c r="CM46" s="407"/>
      <c r="CP46" s="411"/>
      <c r="CQ46" s="411"/>
      <c r="CR46" s="411"/>
      <c r="CS46" s="411"/>
      <c r="CT46" s="411"/>
      <c r="CU46" s="411"/>
      <c r="CV46" s="411"/>
      <c r="CW46" s="411"/>
      <c r="CX46" s="411"/>
      <c r="CY46" s="411"/>
      <c r="CZ46" s="411">
        <f>SUM($O46:$U46)</f>
        <v>10896898.975594677</v>
      </c>
      <c r="DA46" s="411"/>
      <c r="DB46" s="411"/>
      <c r="DC46" s="411"/>
      <c r="DD46" s="411"/>
    </row>
    <row r="47" spans="3:108" ht="15" customHeight="1" x14ac:dyDescent="0.45">
      <c r="C47" s="827"/>
      <c r="D47" s="828"/>
      <c r="E47" s="829"/>
      <c r="F47" s="347">
        <v>12</v>
      </c>
      <c r="G47" s="767">
        <f t="shared" si="4"/>
        <v>35</v>
      </c>
      <c r="H47" s="455"/>
      <c r="I47" s="455"/>
      <c r="J47" s="455"/>
      <c r="K47" s="455"/>
      <c r="L47" s="455"/>
      <c r="M47" s="455"/>
      <c r="N47" s="455"/>
      <c r="O47" s="463">
        <f>('precios bas.'!$A13-'precios bas.'!$G13)*[8]Hoja1!$T17*[8]Hoja1!C17</f>
        <v>2098472.9984507477</v>
      </c>
      <c r="P47" s="463">
        <f>('precios bas.'!$A13-'precios bas.'!$G13)*[8]Hoja1!$T17*[8]Hoja1!D17</f>
        <v>116782.78551652054</v>
      </c>
      <c r="Q47" s="463">
        <f>('precios bas.'!$A13-'precios bas.'!$G13)*[8]Hoja1!$T17*[8]Hoja1!E17</f>
        <v>3507963.5495759216</v>
      </c>
      <c r="R47" s="463">
        <f>('precios bas.'!$A13-'precios bas.'!$G13)*[8]Hoja1!$T17*[8]Hoja1!F17</f>
        <v>795100.83051051386</v>
      </c>
      <c r="S47" s="463">
        <f>('precios bas.'!$A13-'precios bas.'!$G13)*[8]Hoja1!$T17*[8]Hoja1!G17</f>
        <v>774113.47940945078</v>
      </c>
      <c r="T47" s="463">
        <f>('precios bas.'!$A13-'precios bas.'!$G13)*[8]Hoja1!$T17*[8]Hoja1!H17</f>
        <v>209775.75044720777</v>
      </c>
      <c r="U47" s="463">
        <f>('precios bas.'!$A13-'precios bas.'!$G13)*[8]Hoja1!$T17*[8]Hoja1!I17</f>
        <v>3512909.6673571821</v>
      </c>
      <c r="V47" s="458"/>
      <c r="W47" s="458"/>
      <c r="X47" s="458"/>
      <c r="Y47" s="458"/>
      <c r="Z47" s="458"/>
      <c r="AA47" s="458"/>
      <c r="AB47" s="458"/>
      <c r="AC47" s="458"/>
      <c r="AD47" s="455"/>
      <c r="AE47" s="464"/>
      <c r="AF47" s="464"/>
      <c r="AG47" s="464"/>
      <c r="AH47" s="464"/>
      <c r="AI47" s="464"/>
      <c r="AJ47" s="464"/>
      <c r="AK47" s="464"/>
      <c r="AL47" s="464"/>
      <c r="AM47" s="464"/>
      <c r="AN47" s="464"/>
      <c r="AO47" s="464"/>
      <c r="AP47" s="464"/>
      <c r="AQ47" s="464"/>
      <c r="AR47" s="464"/>
      <c r="AS47" s="464"/>
      <c r="AT47" s="465">
        <f>'datos prec. compr.'!Q13-CP47</f>
        <v>0</v>
      </c>
      <c r="AU47" s="465">
        <f>'datos prec. compr.'!R13-CQ47</f>
        <v>0</v>
      </c>
      <c r="AV47" s="465">
        <f>'datos prec. compr.'!S13-CR47</f>
        <v>0</v>
      </c>
      <c r="AW47" s="465">
        <f>'datos prec. compr.'!T13-CS47</f>
        <v>0</v>
      </c>
      <c r="AX47" s="465">
        <f>'datos prec. compr.'!U13-CT47</f>
        <v>0</v>
      </c>
      <c r="AY47" s="465">
        <f>'datos prec. compr.'!V13-CU47</f>
        <v>0</v>
      </c>
      <c r="AZ47" s="465">
        <f>'datos prec. compr.'!W13-CV47</f>
        <v>22420</v>
      </c>
      <c r="BA47" s="465">
        <f>'datos prec. compr.'!X13-CW47</f>
        <v>2046828</v>
      </c>
      <c r="BB47" s="465">
        <f>'datos prec. compr.'!Y13-CX47</f>
        <v>7153783</v>
      </c>
      <c r="BC47" s="465">
        <f>'datos prec. compr.'!Z13-CY47</f>
        <v>0</v>
      </c>
      <c r="BD47" s="465">
        <f>'datos prec. compr.'!AA13-CZ47</f>
        <v>0</v>
      </c>
      <c r="BE47" s="465">
        <f>'datos prec. compr.'!AB13-DA47</f>
        <v>10282318896.938732</v>
      </c>
      <c r="BF47" s="465">
        <f>'datos prec. compr.'!AC13-DB47</f>
        <v>0</v>
      </c>
      <c r="BG47" s="465">
        <f>'datos prec. compr.'!AD13-DC47</f>
        <v>400282</v>
      </c>
      <c r="BH47" s="465">
        <f>'datos prec. compr.'!AE13-DD47</f>
        <v>0</v>
      </c>
      <c r="BI47" s="458"/>
      <c r="BJ47" s="458"/>
      <c r="BK47" s="455"/>
      <c r="BL47" s="455"/>
      <c r="BM47" s="455"/>
      <c r="BN47" s="458"/>
      <c r="BO47" s="458"/>
      <c r="BP47" s="455">
        <f t="shared" si="2"/>
        <v>10302957329</v>
      </c>
      <c r="BQ47" s="347">
        <v>10320764089</v>
      </c>
      <c r="BR47" s="418">
        <f t="shared" si="3"/>
        <v>17806760</v>
      </c>
      <c r="BS47" s="644"/>
      <c r="BT47" s="644"/>
      <c r="BU47" s="644"/>
      <c r="BV47" s="644"/>
      <c r="BW47" s="644"/>
      <c r="BX47" s="644"/>
      <c r="BY47" s="407"/>
      <c r="BZ47" s="407"/>
      <c r="CA47" s="407"/>
      <c r="CB47" s="407"/>
      <c r="CC47" s="407"/>
      <c r="CD47" s="407"/>
      <c r="CE47" s="407"/>
      <c r="CF47" s="407"/>
      <c r="CG47" s="407"/>
      <c r="CH47" s="407"/>
      <c r="CI47" s="407"/>
      <c r="CJ47" s="407">
        <f>+AP73</f>
        <v>10302957570</v>
      </c>
      <c r="CK47" s="407"/>
      <c r="CL47" s="407"/>
      <c r="CM47" s="407"/>
      <c r="CP47" s="411"/>
      <c r="CQ47" s="411"/>
      <c r="CR47" s="411"/>
      <c r="CS47" s="411"/>
      <c r="CT47" s="411"/>
      <c r="CU47" s="411"/>
      <c r="CV47" s="411"/>
      <c r="CW47" s="411"/>
      <c r="CX47" s="411"/>
      <c r="CY47" s="411"/>
      <c r="CZ47" s="411"/>
      <c r="DA47" s="411">
        <f>SUM($O47:$U47)</f>
        <v>11015119.061267544</v>
      </c>
      <c r="DB47" s="411"/>
      <c r="DC47" s="411"/>
      <c r="DD47" s="411"/>
    </row>
    <row r="48" spans="3:108" ht="15" customHeight="1" x14ac:dyDescent="0.45">
      <c r="C48" s="827"/>
      <c r="D48" s="828"/>
      <c r="E48" s="829"/>
      <c r="F48" s="347">
        <v>13</v>
      </c>
      <c r="G48" s="767">
        <f t="shared" si="4"/>
        <v>36</v>
      </c>
      <c r="H48" s="455"/>
      <c r="I48" s="455"/>
      <c r="J48" s="455"/>
      <c r="K48" s="455"/>
      <c r="L48" s="455"/>
      <c r="M48" s="455"/>
      <c r="N48" s="455"/>
      <c r="O48" s="463">
        <f>('precios bas.'!$A14-'precios bas.'!$G14)*[8]Hoja1!$T18*[8]Hoja1!C18</f>
        <v>0</v>
      </c>
      <c r="P48" s="463">
        <f>('precios bas.'!$A14-'precios bas.'!$G14)*[8]Hoja1!$T18*[8]Hoja1!D18</f>
        <v>0</v>
      </c>
      <c r="Q48" s="463">
        <f>('precios bas.'!$A14-'precios bas.'!$G14)*[8]Hoja1!$T18*[8]Hoja1!E18</f>
        <v>0</v>
      </c>
      <c r="R48" s="463">
        <f>('precios bas.'!$A14-'precios bas.'!$G14)*[8]Hoja1!$T18*[8]Hoja1!F18</f>
        <v>0</v>
      </c>
      <c r="S48" s="463">
        <f>('precios bas.'!$A14-'precios bas.'!$G14)*[8]Hoja1!$T18*[8]Hoja1!G18</f>
        <v>0</v>
      </c>
      <c r="T48" s="463">
        <f>('precios bas.'!$A14-'precios bas.'!$G14)*[8]Hoja1!$T18*[8]Hoja1!H18</f>
        <v>0</v>
      </c>
      <c r="U48" s="463">
        <f>('precios bas.'!$A14-'precios bas.'!$G14)*[8]Hoja1!$T18*[8]Hoja1!I18</f>
        <v>0</v>
      </c>
      <c r="V48" s="458"/>
      <c r="W48" s="458"/>
      <c r="X48" s="458"/>
      <c r="Y48" s="458"/>
      <c r="Z48" s="458"/>
      <c r="AA48" s="458"/>
      <c r="AB48" s="458"/>
      <c r="AC48" s="458"/>
      <c r="AD48" s="455"/>
      <c r="AE48" s="464"/>
      <c r="AF48" s="464"/>
      <c r="AG48" s="464"/>
      <c r="AH48" s="464"/>
      <c r="AI48" s="464"/>
      <c r="AJ48" s="464"/>
      <c r="AK48" s="464"/>
      <c r="AL48" s="464"/>
      <c r="AM48" s="464"/>
      <c r="AN48" s="464"/>
      <c r="AO48" s="464"/>
      <c r="AP48" s="464"/>
      <c r="AQ48" s="464"/>
      <c r="AR48" s="464"/>
      <c r="AS48" s="464"/>
      <c r="AT48" s="465">
        <f>'datos prec. compr.'!Q14-CP48</f>
        <v>27627854</v>
      </c>
      <c r="AU48" s="465">
        <f>'datos prec. compr.'!R14-CQ48</f>
        <v>589439</v>
      </c>
      <c r="AV48" s="465">
        <f>'datos prec. compr.'!S14-CR48</f>
        <v>13406625</v>
      </c>
      <c r="AW48" s="465">
        <f>'datos prec. compr.'!T14-CS48</f>
        <v>9590375</v>
      </c>
      <c r="AX48" s="465">
        <f>'datos prec. compr.'!U14-CT48</f>
        <v>5008599</v>
      </c>
      <c r="AY48" s="465">
        <f>'datos prec. compr.'!V14-CU48</f>
        <v>1494995</v>
      </c>
      <c r="AZ48" s="465">
        <f>'datos prec. compr.'!W14-CV48</f>
        <v>137881104</v>
      </c>
      <c r="BA48" s="465">
        <f>'datos prec. compr.'!X14-CW48</f>
        <v>0</v>
      </c>
      <c r="BB48" s="465">
        <f>'datos prec. compr.'!Y14-CX48</f>
        <v>0</v>
      </c>
      <c r="BC48" s="465">
        <f>'datos prec. compr.'!Z14-CY48</f>
        <v>46985360</v>
      </c>
      <c r="BD48" s="465">
        <f>'datos prec. compr.'!AA14-CZ48</f>
        <v>0</v>
      </c>
      <c r="BE48" s="465">
        <f>'datos prec. compr.'!AB14-DA48</f>
        <v>0</v>
      </c>
      <c r="BF48" s="465">
        <f>'datos prec. compr.'!AC14-DB48</f>
        <v>20681877504</v>
      </c>
      <c r="BG48" s="465">
        <f>'datos prec. compr.'!AD14-DC48</f>
        <v>97409272</v>
      </c>
      <c r="BH48" s="465">
        <f>'datos prec. compr.'!AE14-DD48</f>
        <v>94709296</v>
      </c>
      <c r="BI48" s="458"/>
      <c r="BJ48" s="458"/>
      <c r="BK48" s="455"/>
      <c r="BL48" s="455"/>
      <c r="BM48" s="455"/>
      <c r="BN48" s="458"/>
      <c r="BO48" s="458"/>
      <c r="BP48" s="455">
        <f t="shared" si="2"/>
        <v>21116580423</v>
      </c>
      <c r="BQ48" s="347">
        <v>21153074448.000004</v>
      </c>
      <c r="BR48" s="418">
        <f t="shared" si="3"/>
        <v>36494025.000003815</v>
      </c>
      <c r="BS48" s="644"/>
      <c r="BT48" s="644"/>
      <c r="BU48" s="644"/>
      <c r="BV48" s="644"/>
      <c r="BW48" s="644"/>
      <c r="BX48" s="644"/>
      <c r="BY48" s="407"/>
      <c r="BZ48" s="407"/>
      <c r="CA48" s="407"/>
      <c r="CB48" s="407"/>
      <c r="CC48" s="407"/>
      <c r="CD48" s="407"/>
      <c r="CE48" s="407"/>
      <c r="CF48" s="407"/>
      <c r="CG48" s="407"/>
      <c r="CH48" s="407"/>
      <c r="CI48" s="407"/>
      <c r="CJ48" s="407"/>
      <c r="CK48" s="407">
        <f>+AQ73</f>
        <v>21116577384</v>
      </c>
      <c r="CL48" s="407"/>
      <c r="CM48" s="407"/>
      <c r="CP48" s="411"/>
      <c r="CQ48" s="411"/>
      <c r="CR48" s="411"/>
      <c r="CS48" s="411"/>
      <c r="CT48" s="411"/>
      <c r="CU48" s="411"/>
      <c r="CV48" s="411"/>
      <c r="CW48" s="411"/>
      <c r="CX48" s="411"/>
      <c r="CY48" s="411"/>
      <c r="CZ48" s="411"/>
      <c r="DA48" s="411"/>
      <c r="DB48" s="411">
        <f>SUM($O48:$U48)</f>
        <v>0</v>
      </c>
      <c r="DC48" s="411"/>
      <c r="DD48" s="411"/>
    </row>
    <row r="49" spans="3:108" ht="15" customHeight="1" x14ac:dyDescent="0.45">
      <c r="C49" s="827"/>
      <c r="D49" s="828"/>
      <c r="E49" s="829"/>
      <c r="F49" s="347">
        <v>14</v>
      </c>
      <c r="G49" s="767">
        <f t="shared" si="4"/>
        <v>37</v>
      </c>
      <c r="H49" s="455"/>
      <c r="I49" s="455"/>
      <c r="J49" s="455"/>
      <c r="K49" s="455"/>
      <c r="L49" s="455"/>
      <c r="M49" s="455"/>
      <c r="N49" s="455"/>
      <c r="O49" s="463">
        <f>('precios bas.'!$A15-'precios bas.'!$G15)*[8]Hoja1!$T19*[8]Hoja1!C19</f>
        <v>0</v>
      </c>
      <c r="P49" s="463">
        <f>('precios bas.'!$A15-'precios bas.'!$G15)*[8]Hoja1!$T19*[8]Hoja1!D19</f>
        <v>0</v>
      </c>
      <c r="Q49" s="463">
        <f>('precios bas.'!$A15-'precios bas.'!$G15)*[8]Hoja1!$T19*[8]Hoja1!E19</f>
        <v>0</v>
      </c>
      <c r="R49" s="463">
        <f>('precios bas.'!$A15-'precios bas.'!$G15)*[8]Hoja1!$T19*[8]Hoja1!F19</f>
        <v>0</v>
      </c>
      <c r="S49" s="463">
        <f>('precios bas.'!$A15-'precios bas.'!$G15)*[8]Hoja1!$T19*[8]Hoja1!G19</f>
        <v>0</v>
      </c>
      <c r="T49" s="463">
        <f>('precios bas.'!$A15-'precios bas.'!$G15)*[8]Hoja1!$T19*[8]Hoja1!H19</f>
        <v>0</v>
      </c>
      <c r="U49" s="463">
        <f>('precios bas.'!$A15-'precios bas.'!$G15)*[8]Hoja1!$T19*[8]Hoja1!I19</f>
        <v>0</v>
      </c>
      <c r="V49" s="458"/>
      <c r="W49" s="458"/>
      <c r="X49" s="458"/>
      <c r="Y49" s="458"/>
      <c r="Z49" s="458"/>
      <c r="AA49" s="458"/>
      <c r="AB49" s="458"/>
      <c r="AC49" s="458"/>
      <c r="AD49" s="455"/>
      <c r="AE49" s="464"/>
      <c r="AF49" s="464"/>
      <c r="AG49" s="464"/>
      <c r="AH49" s="464"/>
      <c r="AI49" s="464"/>
      <c r="AJ49" s="464"/>
      <c r="AK49" s="464"/>
      <c r="AL49" s="464"/>
      <c r="AM49" s="464"/>
      <c r="AN49" s="464"/>
      <c r="AO49" s="464"/>
      <c r="AP49" s="464"/>
      <c r="AQ49" s="464"/>
      <c r="AR49" s="464"/>
      <c r="AS49" s="464"/>
      <c r="AT49" s="465">
        <f>'datos prec. compr.'!Q15-CP49</f>
        <v>0</v>
      </c>
      <c r="AU49" s="465">
        <f>'datos prec. compr.'!R15-CQ49</f>
        <v>0</v>
      </c>
      <c r="AV49" s="465">
        <f>'datos prec. compr.'!S15-CR49</f>
        <v>0</v>
      </c>
      <c r="AW49" s="465">
        <f>'datos prec. compr.'!T15-CS49</f>
        <v>3356845</v>
      </c>
      <c r="AX49" s="465">
        <f>'datos prec. compr.'!U15-CT49</f>
        <v>0</v>
      </c>
      <c r="AY49" s="465">
        <f>'datos prec. compr.'!V15-CU49</f>
        <v>0</v>
      </c>
      <c r="AZ49" s="465">
        <f>'datos prec. compr.'!W15-CV49</f>
        <v>714033</v>
      </c>
      <c r="BA49" s="465">
        <f>'datos prec. compr.'!X15-CW49</f>
        <v>654537664</v>
      </c>
      <c r="BB49" s="465">
        <f>'datos prec. compr.'!Y15-CX49</f>
        <v>253850032</v>
      </c>
      <c r="BC49" s="465">
        <f>'datos prec. compr.'!Z15-CY49</f>
        <v>159845</v>
      </c>
      <c r="BD49" s="465">
        <f>'datos prec. compr.'!AA15-CZ49</f>
        <v>0</v>
      </c>
      <c r="BE49" s="465">
        <f>'datos prec. compr.'!AB15-DA49</f>
        <v>0</v>
      </c>
      <c r="BF49" s="465">
        <f>'datos prec. compr.'!AC15-DB49</f>
        <v>0</v>
      </c>
      <c r="BG49" s="465">
        <f>'datos prec. compr.'!AD15-DC49</f>
        <v>51814580224</v>
      </c>
      <c r="BH49" s="465">
        <f>'datos prec. compr.'!AE15-DD49</f>
        <v>106790</v>
      </c>
      <c r="BI49" s="458"/>
      <c r="BJ49" s="458"/>
      <c r="BK49" s="455"/>
      <c r="BL49" s="455"/>
      <c r="BM49" s="455"/>
      <c r="BN49" s="458"/>
      <c r="BO49" s="458"/>
      <c r="BP49" s="455">
        <f t="shared" si="2"/>
        <v>52727305433</v>
      </c>
      <c r="BQ49" s="347">
        <v>52818433202</v>
      </c>
      <c r="BR49" s="418">
        <f t="shared" si="3"/>
        <v>91127769</v>
      </c>
      <c r="BS49" s="644"/>
      <c r="BT49" s="644"/>
      <c r="BU49" s="644"/>
      <c r="BV49" s="644"/>
      <c r="BW49" s="644"/>
      <c r="BX49" s="644"/>
      <c r="BY49" s="407"/>
      <c r="BZ49" s="407"/>
      <c r="CA49" s="407"/>
      <c r="CB49" s="407"/>
      <c r="CC49" s="407"/>
      <c r="CD49" s="407"/>
      <c r="CE49" s="407"/>
      <c r="CF49" s="407"/>
      <c r="CG49" s="407"/>
      <c r="CH49" s="407"/>
      <c r="CI49" s="407"/>
      <c r="CJ49" s="407"/>
      <c r="CK49" s="407"/>
      <c r="CL49" s="407">
        <f>+AR73</f>
        <v>52727308147</v>
      </c>
      <c r="CM49" s="407"/>
      <c r="CP49" s="411"/>
      <c r="CQ49" s="411"/>
      <c r="CR49" s="411"/>
      <c r="CS49" s="411"/>
      <c r="CT49" s="411"/>
      <c r="CU49" s="411"/>
      <c r="CV49" s="411"/>
      <c r="CW49" s="411"/>
      <c r="CX49" s="411"/>
      <c r="CY49" s="411"/>
      <c r="CZ49" s="411"/>
      <c r="DA49" s="411"/>
      <c r="DB49" s="411"/>
      <c r="DC49" s="411">
        <f>SUM($O49:$U49)</f>
        <v>0</v>
      </c>
      <c r="DD49" s="411"/>
    </row>
    <row r="50" spans="3:108" ht="15" customHeight="1" x14ac:dyDescent="0.45">
      <c r="C50" s="827"/>
      <c r="D50" s="828"/>
      <c r="E50" s="829"/>
      <c r="F50" s="347">
        <v>15</v>
      </c>
      <c r="G50" s="767">
        <f t="shared" si="4"/>
        <v>38</v>
      </c>
      <c r="H50" s="455"/>
      <c r="I50" s="455"/>
      <c r="J50" s="455"/>
      <c r="K50" s="455"/>
      <c r="L50" s="455"/>
      <c r="M50" s="455"/>
      <c r="N50" s="455"/>
      <c r="O50" s="463">
        <f>('precios bas.'!$A16-'precios bas.'!$G16)*[8]Hoja1!$T20*[8]Hoja1!C20</f>
        <v>1401766770.0658669</v>
      </c>
      <c r="P50" s="463">
        <f>('precios bas.'!$A16-'precios bas.'!$G16)*[8]Hoja1!$T20*[8]Hoja1!D20</f>
        <v>141750035.46280918</v>
      </c>
      <c r="Q50" s="463">
        <f>('precios bas.'!$A16-'precios bas.'!$G16)*[8]Hoja1!$T20*[8]Hoja1!E20</f>
        <v>1125496558.7593226</v>
      </c>
      <c r="R50" s="463">
        <f>('precios bas.'!$A16-'precios bas.'!$G16)*[8]Hoja1!$T20*[8]Hoja1!F20</f>
        <v>309696170.54151088</v>
      </c>
      <c r="S50" s="463">
        <f>('precios bas.'!$A16-'precios bas.'!$G16)*[8]Hoja1!$T20*[8]Hoja1!G20</f>
        <v>416047568.6396904</v>
      </c>
      <c r="T50" s="463">
        <f>('precios bas.'!$A16-'precios bas.'!$G16)*[8]Hoja1!$T20*[8]Hoja1!H20</f>
        <v>97955168.309282154</v>
      </c>
      <c r="U50" s="463">
        <f>('precios bas.'!$A16-'precios bas.'!$G16)*[8]Hoja1!$T20*[8]Hoja1!I20</f>
        <v>6516520474.7461243</v>
      </c>
      <c r="V50" s="458"/>
      <c r="W50" s="458"/>
      <c r="X50" s="458"/>
      <c r="Y50" s="458"/>
      <c r="Z50" s="458"/>
      <c r="AA50" s="458"/>
      <c r="AB50" s="458"/>
      <c r="AC50" s="458"/>
      <c r="AD50" s="458"/>
      <c r="AE50" s="464"/>
      <c r="AF50" s="464"/>
      <c r="AG50" s="464"/>
      <c r="AH50" s="464"/>
      <c r="AI50" s="464"/>
      <c r="AJ50" s="464"/>
      <c r="AK50" s="464"/>
      <c r="AL50" s="464"/>
      <c r="AM50" s="464"/>
      <c r="AN50" s="464"/>
      <c r="AO50" s="464"/>
      <c r="AP50" s="464"/>
      <c r="AQ50" s="464"/>
      <c r="AR50" s="464"/>
      <c r="AS50" s="464"/>
      <c r="AT50" s="465">
        <f>'datos prec. compr.'!Q16-CP50</f>
        <v>0</v>
      </c>
      <c r="AU50" s="465">
        <f>'datos prec. compr.'!R16-CQ50</f>
        <v>0</v>
      </c>
      <c r="AV50" s="465">
        <f>'datos prec. compr.'!S16-CR50</f>
        <v>0</v>
      </c>
      <c r="AW50" s="465">
        <f>'datos prec. compr.'!T16-CS50</f>
        <v>0</v>
      </c>
      <c r="AX50" s="465">
        <f>'datos prec. compr.'!U16-CT50</f>
        <v>0</v>
      </c>
      <c r="AY50" s="465">
        <f>'datos prec. compr.'!V16-CU50</f>
        <v>0</v>
      </c>
      <c r="AZ50" s="465">
        <f>'datos prec. compr.'!W16-CV50</f>
        <v>0</v>
      </c>
      <c r="BA50" s="465">
        <f>'datos prec. compr.'!X16-CW50</f>
        <v>2632457</v>
      </c>
      <c r="BB50" s="465">
        <f>'datos prec. compr.'!Y16-CX50</f>
        <v>1295616</v>
      </c>
      <c r="BC50" s="465">
        <f>'datos prec. compr.'!Z16-CY50</f>
        <v>9800634</v>
      </c>
      <c r="BD50" s="465">
        <f>'datos prec. compr.'!AA16-CZ50</f>
        <v>0</v>
      </c>
      <c r="BE50" s="465">
        <f>'datos prec. compr.'!AB16-DA50</f>
        <v>0</v>
      </c>
      <c r="BF50" s="465">
        <f>'datos prec. compr.'!AC16-DB50</f>
        <v>0</v>
      </c>
      <c r="BG50" s="465">
        <f>'datos prec. compr.'!AD16-DC50</f>
        <v>22902290</v>
      </c>
      <c r="BH50" s="465">
        <f>'datos prec. compr.'!AE16-DD50</f>
        <v>18065891989.475395</v>
      </c>
      <c r="BI50" s="458"/>
      <c r="BJ50" s="458"/>
      <c r="BK50" s="455"/>
      <c r="BL50" s="455"/>
      <c r="BM50" s="455"/>
      <c r="BN50" s="458"/>
      <c r="BO50" s="458"/>
      <c r="BP50" s="455">
        <f t="shared" si="2"/>
        <v>28111755733</v>
      </c>
      <c r="BQ50" s="347">
        <v>28160342291</v>
      </c>
      <c r="BR50" s="418">
        <f t="shared" si="3"/>
        <v>48586558</v>
      </c>
      <c r="BS50" s="644"/>
      <c r="BT50" s="644"/>
      <c r="BU50" s="644"/>
      <c r="BV50" s="644"/>
      <c r="BW50" s="644"/>
      <c r="BX50" s="644"/>
      <c r="BY50" s="407"/>
      <c r="BZ50" s="407"/>
      <c r="CA50" s="407"/>
      <c r="CB50" s="407"/>
      <c r="CC50" s="407"/>
      <c r="CD50" s="407"/>
      <c r="CE50" s="407"/>
      <c r="CF50" s="407"/>
      <c r="CG50" s="407"/>
      <c r="CH50" s="407"/>
      <c r="CI50" s="407"/>
      <c r="CJ50" s="407"/>
      <c r="CK50" s="407"/>
      <c r="CL50" s="407"/>
      <c r="CM50" s="407">
        <f>+AS73</f>
        <v>28111754623</v>
      </c>
      <c r="CP50" s="411"/>
      <c r="CQ50" s="411"/>
      <c r="CR50" s="411"/>
      <c r="CS50" s="411"/>
      <c r="CT50" s="411"/>
      <c r="CU50" s="411"/>
      <c r="CV50" s="411"/>
      <c r="CW50" s="411"/>
      <c r="CX50" s="411"/>
      <c r="CY50" s="411"/>
      <c r="CZ50" s="411"/>
      <c r="DA50" s="411"/>
      <c r="DB50" s="411"/>
      <c r="DC50" s="411"/>
      <c r="DD50" s="411">
        <f>SUM($O50:$U50)</f>
        <v>10009232746.524607</v>
      </c>
    </row>
    <row r="51" spans="3:108" ht="15" customHeight="1" x14ac:dyDescent="0.45">
      <c r="C51" s="824" t="s">
        <v>559</v>
      </c>
      <c r="D51" s="825"/>
      <c r="E51" s="826"/>
      <c r="F51" s="347">
        <v>1</v>
      </c>
      <c r="G51" s="767">
        <f t="shared" si="4"/>
        <v>39</v>
      </c>
      <c r="H51" s="455"/>
      <c r="I51" s="455"/>
      <c r="J51" s="455"/>
      <c r="K51" s="455"/>
      <c r="L51" s="455"/>
      <c r="M51" s="455"/>
      <c r="N51" s="455"/>
      <c r="O51" s="466">
        <f>+[8]Hoja1!K6*('datos prec. compr.'!$BK2-SUM($O36:$U36))</f>
        <v>3325129244.0952964</v>
      </c>
      <c r="P51" s="466">
        <f>+[8]Hoja1!L6*('datos prec. compr.'!$BK2-SUM($O36:$U36))</f>
        <v>722918798.0559206</v>
      </c>
      <c r="Q51" s="466">
        <f>+[8]Hoja1!M6*('datos prec. compr.'!$BK2-SUM($O36:$U36))</f>
        <v>2376734525.6267338</v>
      </c>
      <c r="R51" s="466">
        <f>+[8]Hoja1!N6*('datos prec. compr.'!$BK2-SUM($O36:$U36))</f>
        <v>1947763873.0995626</v>
      </c>
      <c r="S51" s="466">
        <f>+[8]Hoja1!O6*('datos prec. compr.'!$BK2-SUM($O36:$U36))</f>
        <v>1210564896.491796</v>
      </c>
      <c r="T51" s="466">
        <f>+[8]Hoja1!P6*('datos prec. compr.'!$BK2-SUM($O36:$U36))</f>
        <v>747705827.25521266</v>
      </c>
      <c r="U51" s="466">
        <f>+[8]Hoja1!Q6*('datos prec. compr.'!$BK2-SUM($O36:$U36))</f>
        <v>6638929657.4115572</v>
      </c>
      <c r="V51" s="455"/>
      <c r="W51" s="455">
        <f>+'datos prec. compr.'!CF2</f>
        <v>0</v>
      </c>
      <c r="X51" s="455"/>
      <c r="Y51" s="455"/>
      <c r="Z51" s="455"/>
      <c r="AA51" s="455"/>
      <c r="AB51" s="455">
        <f>+[7]C_5!$G$16*1000000*'datos prec. compr.'!CD2/'datos prec. compr.'!$CD$17</f>
        <v>154324141.29409027</v>
      </c>
      <c r="AC51" s="455">
        <f>+'oferta-demanda'!$M$70/'oferta-demanda'!$M$69*'datos prec. compr.'!CD2</f>
        <v>858082452.27683985</v>
      </c>
      <c r="AD51" s="455">
        <f>+'datos prec. compr.'!CE2</f>
        <v>3937755136</v>
      </c>
      <c r="AE51" s="461">
        <f>+'datos prec. compr.'!AF2</f>
        <v>3809693952</v>
      </c>
      <c r="AF51" s="461">
        <f>+'datos prec. compr.'!AG2</f>
        <v>2082749</v>
      </c>
      <c r="AG51" s="461">
        <f>+'datos prec. compr.'!AH2</f>
        <v>55375116</v>
      </c>
      <c r="AH51" s="461">
        <f>+'datos prec. compr.'!AI2</f>
        <v>12577551360</v>
      </c>
      <c r="AI51" s="461">
        <f>+'datos prec. compr.'!AJ2</f>
        <v>703742016</v>
      </c>
      <c r="AJ51" s="461">
        <f>+'datos prec. compr.'!AK2</f>
        <v>394291008</v>
      </c>
      <c r="AK51" s="461">
        <f>+'datos prec. compr.'!AL2</f>
        <v>27195108</v>
      </c>
      <c r="AL51" s="461">
        <f>+'datos prec. compr.'!AM2</f>
        <v>30013382</v>
      </c>
      <c r="AM51" s="461">
        <f>+'datos prec. compr.'!AN2</f>
        <v>2419652</v>
      </c>
      <c r="AN51" s="461">
        <f>+'datos prec. compr.'!AO2</f>
        <v>0</v>
      </c>
      <c r="AO51" s="461">
        <f>+'datos prec. compr.'!AP2</f>
        <v>7840614</v>
      </c>
      <c r="AP51" s="461">
        <f>+'datos prec. compr.'!AQ2</f>
        <v>0</v>
      </c>
      <c r="AQ51" s="461">
        <f>+'datos prec. compr.'!AR2</f>
        <v>245765296</v>
      </c>
      <c r="AR51" s="461">
        <f>+'datos prec. compr.'!AS2</f>
        <v>5267307</v>
      </c>
      <c r="AS51" s="461">
        <f>+'datos prec. compr.'!AT2</f>
        <v>1143568640</v>
      </c>
      <c r="AT51" s="464"/>
      <c r="AU51" s="464"/>
      <c r="AV51" s="464"/>
      <c r="AW51" s="464"/>
      <c r="AX51" s="464"/>
      <c r="AY51" s="464"/>
      <c r="AZ51" s="464"/>
      <c r="BA51" s="464"/>
      <c r="BB51" s="464"/>
      <c r="BC51" s="464"/>
      <c r="BD51" s="464"/>
      <c r="BE51" s="464"/>
      <c r="BF51" s="464"/>
      <c r="BG51" s="464"/>
      <c r="BH51" s="464"/>
      <c r="BI51" s="464"/>
      <c r="BJ51" s="464"/>
      <c r="BK51" s="455"/>
      <c r="BL51" s="455"/>
      <c r="BM51" s="455"/>
      <c r="BN51" s="455">
        <f>+'datos prec. compr.'!CC2</f>
        <v>2883453184</v>
      </c>
      <c r="BO51" s="458"/>
      <c r="BP51" s="455">
        <f t="shared" si="2"/>
        <v>43808167935.60701</v>
      </c>
      <c r="BQ51" s="347">
        <v>43739311066.025612</v>
      </c>
      <c r="BR51" s="418">
        <f t="shared" si="3"/>
        <v>-68856869.58139801</v>
      </c>
      <c r="BS51" s="644"/>
      <c r="BT51" s="644"/>
      <c r="BU51" s="644"/>
      <c r="BV51" s="644"/>
      <c r="BW51" s="644"/>
      <c r="BX51" s="644"/>
    </row>
    <row r="52" spans="3:108" ht="15" customHeight="1" x14ac:dyDescent="0.45">
      <c r="C52" s="827"/>
      <c r="D52" s="828"/>
      <c r="E52" s="829"/>
      <c r="F52" s="347">
        <v>2</v>
      </c>
      <c r="G52" s="767">
        <f t="shared" si="4"/>
        <v>40</v>
      </c>
      <c r="H52" s="455"/>
      <c r="I52" s="455"/>
      <c r="J52" s="455"/>
      <c r="K52" s="455"/>
      <c r="L52" s="455"/>
      <c r="M52" s="455"/>
      <c r="N52" s="455"/>
      <c r="O52" s="466">
        <f>+[8]Hoja1!K7*('datos prec. compr.'!$BK3-SUM($O37:$U37))</f>
        <v>724937941.15493143</v>
      </c>
      <c r="P52" s="466">
        <f>+[8]Hoja1!L7*('datos prec. compr.'!$BK3-SUM($O37:$U37))</f>
        <v>157609291.73369512</v>
      </c>
      <c r="Q52" s="466">
        <f>+[8]Hoja1!M7*('datos prec. compr.'!$BK3-SUM($O37:$U37))</f>
        <v>518170846.06239963</v>
      </c>
      <c r="R52" s="466">
        <f>+[8]Hoja1!N7*('datos prec. compr.'!$BK3-SUM($O37:$U37))</f>
        <v>424647533.48405027</v>
      </c>
      <c r="S52" s="466">
        <f>+[8]Hoja1!O7*('datos prec. compr.'!$BK3-SUM($O37:$U37))</f>
        <v>263924906.15382653</v>
      </c>
      <c r="T52" s="466">
        <f>+[8]Hoja1!P7*('datos prec. compr.'!$BK3-SUM($O37:$U37))</f>
        <v>163013309.62171891</v>
      </c>
      <c r="U52" s="466">
        <f>+[8]Hoja1!Q7*('datos prec. compr.'!$BK3-SUM($O37:$U37))</f>
        <v>1447405993.5753932</v>
      </c>
      <c r="V52" s="455"/>
      <c r="W52" s="455">
        <f>+'datos prec. compr.'!CF3</f>
        <v>0</v>
      </c>
      <c r="X52" s="455"/>
      <c r="Y52" s="455"/>
      <c r="Z52" s="455"/>
      <c r="AA52" s="455"/>
      <c r="AB52" s="455">
        <f>+[7]C_5!$G$16*1000000*'datos prec. compr.'!CD3/'datos prec. compr.'!$CD$17</f>
        <v>0</v>
      </c>
      <c r="AC52" s="455">
        <f>+'oferta-demanda'!$M$70/'oferta-demanda'!$M$69*'datos prec. compr.'!CD3</f>
        <v>0</v>
      </c>
      <c r="AD52" s="455">
        <f>+'datos prec. compr.'!CE3</f>
        <v>-1822857216</v>
      </c>
      <c r="AE52" s="461">
        <f>+'datos prec. compr.'!AF3</f>
        <v>0</v>
      </c>
      <c r="AF52" s="461">
        <f>+'datos prec. compr.'!AG3</f>
        <v>1683086976</v>
      </c>
      <c r="AG52" s="461">
        <f>+'datos prec. compr.'!AH3</f>
        <v>2201906</v>
      </c>
      <c r="AH52" s="461">
        <f>+'datos prec. compr.'!AI3</f>
        <v>276306496</v>
      </c>
      <c r="AI52" s="461">
        <f>+'datos prec. compr.'!AJ3</f>
        <v>46341</v>
      </c>
      <c r="AJ52" s="461">
        <f>+'datos prec. compr.'!AK3</f>
        <v>9487</v>
      </c>
      <c r="AK52" s="461">
        <f>+'datos prec. compr.'!AL3</f>
        <v>28123434</v>
      </c>
      <c r="AL52" s="461">
        <f>+'datos prec. compr.'!AM3</f>
        <v>0</v>
      </c>
      <c r="AM52" s="461">
        <f>+'datos prec. compr.'!AN3</f>
        <v>10498</v>
      </c>
      <c r="AN52" s="461">
        <f>+'datos prec. compr.'!AO3</f>
        <v>0</v>
      </c>
      <c r="AO52" s="461">
        <f>+'datos prec. compr.'!AP3</f>
        <v>966913</v>
      </c>
      <c r="AP52" s="461">
        <f>+'datos prec. compr.'!AQ3</f>
        <v>0</v>
      </c>
      <c r="AQ52" s="461">
        <f>+'datos prec. compr.'!AR3</f>
        <v>29352268</v>
      </c>
      <c r="AR52" s="461">
        <f>+'datos prec. compr.'!AS3</f>
        <v>0</v>
      </c>
      <c r="AS52" s="461">
        <f>+'datos prec. compr.'!AT3</f>
        <v>184661376</v>
      </c>
      <c r="AT52" s="464"/>
      <c r="AU52" s="464"/>
      <c r="AV52" s="464"/>
      <c r="AW52" s="464"/>
      <c r="AX52" s="464"/>
      <c r="AY52" s="464"/>
      <c r="AZ52" s="464"/>
      <c r="BA52" s="464"/>
      <c r="BB52" s="464"/>
      <c r="BC52" s="464"/>
      <c r="BD52" s="464"/>
      <c r="BE52" s="464"/>
      <c r="BF52" s="464"/>
      <c r="BG52" s="464"/>
      <c r="BH52" s="464"/>
      <c r="BI52" s="464"/>
      <c r="BJ52" s="464"/>
      <c r="BK52" s="455"/>
      <c r="BL52" s="455"/>
      <c r="BM52" s="455"/>
      <c r="BN52" s="455">
        <f>+'datos prec. compr.'!CC3</f>
        <v>5900491264</v>
      </c>
      <c r="BO52" s="458"/>
      <c r="BP52" s="455">
        <f t="shared" si="2"/>
        <v>9982109564.7860146</v>
      </c>
      <c r="BQ52" s="347">
        <v>9993537893.3040428</v>
      </c>
      <c r="BR52" s="418">
        <f t="shared" si="3"/>
        <v>11428328.518028259</v>
      </c>
      <c r="BS52" s="644"/>
      <c r="BT52" s="644"/>
      <c r="BU52" s="644"/>
      <c r="BV52" s="644"/>
      <c r="BW52" s="644"/>
      <c r="BX52" s="644"/>
    </row>
    <row r="53" spans="3:108" ht="15" customHeight="1" x14ac:dyDescent="0.45">
      <c r="C53" s="827"/>
      <c r="D53" s="828"/>
      <c r="E53" s="829"/>
      <c r="F53" s="347">
        <v>3</v>
      </c>
      <c r="G53" s="767">
        <f t="shared" si="4"/>
        <v>41</v>
      </c>
      <c r="H53" s="455"/>
      <c r="I53" s="455"/>
      <c r="J53" s="455"/>
      <c r="K53" s="455"/>
      <c r="L53" s="455"/>
      <c r="M53" s="455"/>
      <c r="N53" s="455"/>
      <c r="O53" s="466">
        <f>+[8]Hoja1!K8*('datos prec. compr.'!$BK4-SUM($O38:$U38))</f>
        <v>753722503.08746243</v>
      </c>
      <c r="P53" s="466">
        <f>+[8]Hoja1!L8*('datos prec. compr.'!$BK4-SUM($O38:$U38))</f>
        <v>87942965.920912117</v>
      </c>
      <c r="Q53" s="466">
        <f>+[8]Hoja1!M8*('datos prec. compr.'!$BK4-SUM($O38:$U38))</f>
        <v>599752841.61263657</v>
      </c>
      <c r="R53" s="466">
        <f>+[8]Hoja1!N8*('datos prec. compr.'!$BK4-SUM($O38:$U38))</f>
        <v>228067993.08459374</v>
      </c>
      <c r="S53" s="466">
        <f>+[8]Hoja1!O8*('datos prec. compr.'!$BK4-SUM($O38:$U38))</f>
        <v>223660108.67503607</v>
      </c>
      <c r="T53" s="466">
        <f>+[8]Hoja1!P8*('datos prec. compr.'!$BK4-SUM($O38:$U38))</f>
        <v>82623403.959924355</v>
      </c>
      <c r="U53" s="466">
        <f>+[8]Hoja1!Q8*('datos prec. compr.'!$BK4-SUM($O38:$U38))</f>
        <v>1995017255.6594348</v>
      </c>
      <c r="V53" s="455"/>
      <c r="W53" s="455">
        <f>+'datos prec. compr.'!CF4</f>
        <v>0</v>
      </c>
      <c r="X53" s="455"/>
      <c r="Y53" s="455"/>
      <c r="Z53" s="455"/>
      <c r="AA53" s="455"/>
      <c r="AB53" s="455">
        <f>+[7]C_5!$G$16*1000000*'datos prec. compr.'!CD4/'datos prec. compr.'!$CD$17</f>
        <v>0</v>
      </c>
      <c r="AC53" s="455">
        <f>+'oferta-demanda'!$M$70/'oferta-demanda'!$M$69*'datos prec. compr.'!CD4</f>
        <v>0</v>
      </c>
      <c r="AD53" s="455">
        <f>+'datos prec. compr.'!CE4</f>
        <v>-3663511552</v>
      </c>
      <c r="AE53" s="461">
        <f>+'datos prec. compr.'!AF4</f>
        <v>80216992</v>
      </c>
      <c r="AF53" s="461">
        <f>+'datos prec. compr.'!AG4</f>
        <v>583650240</v>
      </c>
      <c r="AG53" s="461">
        <f>+'datos prec. compr.'!AH4</f>
        <v>15121562624</v>
      </c>
      <c r="AH53" s="461">
        <f>+'datos prec. compr.'!AI4</f>
        <v>363822176</v>
      </c>
      <c r="AI53" s="461">
        <f>+'datos prec. compr.'!AJ4</f>
        <v>108480104</v>
      </c>
      <c r="AJ53" s="461">
        <f>+'datos prec. compr.'!AK4</f>
        <v>2325904128</v>
      </c>
      <c r="AK53" s="461">
        <f>+'datos prec. compr.'!AL4</f>
        <v>441273888</v>
      </c>
      <c r="AL53" s="461">
        <f>+'datos prec. compr.'!AM4</f>
        <v>1074452608</v>
      </c>
      <c r="AM53" s="461">
        <f>+'datos prec. compr.'!AN4</f>
        <v>234422448</v>
      </c>
      <c r="AN53" s="461">
        <f>+'datos prec. compr.'!AO4</f>
        <v>3849852160</v>
      </c>
      <c r="AO53" s="461">
        <f>+'datos prec. compr.'!AP4</f>
        <v>21771412</v>
      </c>
      <c r="AP53" s="461">
        <f>+'datos prec. compr.'!AQ4</f>
        <v>120223400</v>
      </c>
      <c r="AQ53" s="461">
        <f>+'datos prec. compr.'!AR4</f>
        <v>445670048</v>
      </c>
      <c r="AR53" s="461">
        <f>+'datos prec. compr.'!AS4</f>
        <v>534394880</v>
      </c>
      <c r="AS53" s="461">
        <f>+'datos prec. compr.'!AT4</f>
        <v>255838592</v>
      </c>
      <c r="AT53" s="464"/>
      <c r="AU53" s="464"/>
      <c r="AV53" s="464"/>
      <c r="AW53" s="464"/>
      <c r="AX53" s="464"/>
      <c r="AY53" s="464"/>
      <c r="AZ53" s="464"/>
      <c r="BA53" s="464"/>
      <c r="BB53" s="464"/>
      <c r="BC53" s="464"/>
      <c r="BD53" s="464"/>
      <c r="BE53" s="464"/>
      <c r="BF53" s="464"/>
      <c r="BG53" s="464"/>
      <c r="BH53" s="464"/>
      <c r="BI53" s="464"/>
      <c r="BJ53" s="464"/>
      <c r="BK53" s="455"/>
      <c r="BL53" s="455"/>
      <c r="BM53" s="455"/>
      <c r="BN53" s="455">
        <f>+'datos prec. compr.'!CC4</f>
        <v>30036836352</v>
      </c>
      <c r="BO53" s="458"/>
      <c r="BP53" s="455">
        <f t="shared" si="2"/>
        <v>55905647572</v>
      </c>
      <c r="BQ53" s="347">
        <v>55432501338</v>
      </c>
      <c r="BR53" s="418">
        <f t="shared" si="3"/>
        <v>-473146234</v>
      </c>
      <c r="BS53" s="644"/>
      <c r="BT53" s="644"/>
      <c r="BU53" s="644"/>
      <c r="BV53" s="644"/>
      <c r="BW53" s="644"/>
      <c r="BX53" s="644"/>
    </row>
    <row r="54" spans="3:108" ht="15" customHeight="1" x14ac:dyDescent="0.45">
      <c r="C54" s="827"/>
      <c r="D54" s="828"/>
      <c r="E54" s="829"/>
      <c r="F54" s="347">
        <v>4</v>
      </c>
      <c r="G54" s="767">
        <f t="shared" si="4"/>
        <v>42</v>
      </c>
      <c r="H54" s="455"/>
      <c r="I54" s="455"/>
      <c r="J54" s="455"/>
      <c r="K54" s="455"/>
      <c r="L54" s="455"/>
      <c r="M54" s="455"/>
      <c r="N54" s="455"/>
      <c r="O54" s="466">
        <f>+[8]Hoja1!K9*('datos prec. compr.'!$BK5-SUM($O39:$U39))</f>
        <v>5758887065.6059284</v>
      </c>
      <c r="P54" s="466">
        <f>+[8]Hoja1!L9*('datos prec. compr.'!$BK5-SUM($O39:$U39))</f>
        <v>1252043878.5952675</v>
      </c>
      <c r="Q54" s="466">
        <f>+[8]Hoja1!M9*('datos prec. compr.'!$BK5-SUM($O39:$U39))</f>
        <v>4116334949.1802692</v>
      </c>
      <c r="R54" s="466">
        <f>+[8]Hoja1!N9*('datos prec. compr.'!$BK5-SUM($O39:$U39))</f>
        <v>3373388326.3534603</v>
      </c>
      <c r="S54" s="466">
        <f>+[8]Hoja1!O9*('datos prec. compr.'!$BK5-SUM($O39:$U39))</f>
        <v>2096612195.409564</v>
      </c>
      <c r="T54" s="466">
        <f>+[8]Hoja1!P9*('datos prec. compr.'!$BK5-SUM($O39:$U39))</f>
        <v>1294973248.0638635</v>
      </c>
      <c r="U54" s="466">
        <f>+[8]Hoja1!Q9*('datos prec. compr.'!$BK5-SUM($O39:$U39))</f>
        <v>11498153403.037851</v>
      </c>
      <c r="V54" s="455"/>
      <c r="W54" s="455">
        <f>+'datos prec. compr.'!CF5</f>
        <v>0</v>
      </c>
      <c r="X54" s="455"/>
      <c r="Y54" s="455"/>
      <c r="Z54" s="455"/>
      <c r="AA54" s="455"/>
      <c r="AB54" s="455">
        <f>+[7]C_5!$G$16*1000000*'datos prec. compr.'!CD5/'datos prec. compr.'!$CD$17</f>
        <v>0</v>
      </c>
      <c r="AC54" s="455">
        <f>+'oferta-demanda'!$M$70/'oferta-demanda'!$M$69*'datos prec. compr.'!CD5</f>
        <v>0</v>
      </c>
      <c r="AD54" s="455">
        <f>+'datos prec. compr.'!CE5</f>
        <v>1462095872</v>
      </c>
      <c r="AE54" s="461">
        <f>+'datos prec. compr.'!AF5</f>
        <v>701936000</v>
      </c>
      <c r="AF54" s="461">
        <f>+'datos prec. compr.'!AG5</f>
        <v>20257402</v>
      </c>
      <c r="AG54" s="461">
        <f>+'datos prec. compr.'!AH5</f>
        <v>104779392</v>
      </c>
      <c r="AH54" s="461">
        <f>+'datos prec. compr.'!AI5</f>
        <v>4384845312</v>
      </c>
      <c r="AI54" s="461">
        <f>+'datos prec. compr.'!AJ5</f>
        <v>290399168</v>
      </c>
      <c r="AJ54" s="461">
        <f>+'datos prec. compr.'!AK5</f>
        <v>18300138</v>
      </c>
      <c r="AK54" s="461">
        <f>+'datos prec. compr.'!AL5</f>
        <v>283076224</v>
      </c>
      <c r="AL54" s="461">
        <f>+'datos prec. compr.'!AM5</f>
        <v>2739123</v>
      </c>
      <c r="AM54" s="461">
        <f>+'datos prec. compr.'!AN5</f>
        <v>67745752</v>
      </c>
      <c r="AN54" s="461">
        <f>+'datos prec. compr.'!AO5</f>
        <v>38818</v>
      </c>
      <c r="AO54" s="461">
        <f>+'datos prec. compr.'!AP5</f>
        <v>14169265</v>
      </c>
      <c r="AP54" s="461">
        <f>+'datos prec. compr.'!AQ5</f>
        <v>0</v>
      </c>
      <c r="AQ54" s="461">
        <f>+'datos prec. compr.'!AR5</f>
        <v>369843072</v>
      </c>
      <c r="AR54" s="461">
        <f>+'datos prec. compr.'!AS5</f>
        <v>92759128</v>
      </c>
      <c r="AS54" s="461">
        <f>+'datos prec. compr.'!AT5</f>
        <v>5550461952</v>
      </c>
      <c r="AT54" s="464"/>
      <c r="AU54" s="464"/>
      <c r="AV54" s="464"/>
      <c r="AW54" s="464"/>
      <c r="AX54" s="464"/>
      <c r="AY54" s="464"/>
      <c r="AZ54" s="464"/>
      <c r="BA54" s="464"/>
      <c r="BB54" s="464"/>
      <c r="BC54" s="464"/>
      <c r="BD54" s="464"/>
      <c r="BE54" s="464"/>
      <c r="BF54" s="464"/>
      <c r="BG54" s="464"/>
      <c r="BH54" s="464"/>
      <c r="BI54" s="464"/>
      <c r="BJ54" s="464"/>
      <c r="BK54" s="455"/>
      <c r="BL54" s="455"/>
      <c r="BM54" s="455"/>
      <c r="BN54" s="455">
        <f>+'datos prec. compr.'!CC5</f>
        <v>1784933504</v>
      </c>
      <c r="BO54" s="458"/>
      <c r="BP54" s="455">
        <f t="shared" si="2"/>
        <v>44538773188.246201</v>
      </c>
      <c r="BQ54" s="347">
        <v>44030964315.775223</v>
      </c>
      <c r="BR54" s="418">
        <f t="shared" si="3"/>
        <v>-507808872.47097778</v>
      </c>
      <c r="BS54" s="644"/>
      <c r="BT54" s="644"/>
      <c r="BU54" s="644"/>
      <c r="BV54" s="644"/>
      <c r="BW54" s="644"/>
      <c r="BX54" s="644"/>
    </row>
    <row r="55" spans="3:108" ht="15" customHeight="1" x14ac:dyDescent="0.45">
      <c r="C55" s="827"/>
      <c r="D55" s="828"/>
      <c r="E55" s="829"/>
      <c r="F55" s="347">
        <v>5</v>
      </c>
      <c r="G55" s="767">
        <f t="shared" si="4"/>
        <v>43</v>
      </c>
      <c r="H55" s="455"/>
      <c r="I55" s="455"/>
      <c r="J55" s="455"/>
      <c r="K55" s="455"/>
      <c r="L55" s="455"/>
      <c r="M55" s="455"/>
      <c r="N55" s="455"/>
      <c r="O55" s="466">
        <f>+[8]Hoja1!K10*('datos prec. compr.'!$BK6-SUM($O40:$U40))</f>
        <v>2515945309.2875581</v>
      </c>
      <c r="P55" s="466">
        <f>+[8]Hoja1!L10*('datos prec. compr.'!$BK6-SUM($O40:$U40))</f>
        <v>380246406.4335165</v>
      </c>
      <c r="Q55" s="466">
        <f>+[8]Hoja1!M10*('datos prec. compr.'!$BK6-SUM($O40:$U40))</f>
        <v>2138382373.1955943</v>
      </c>
      <c r="R55" s="466">
        <f>+[8]Hoja1!N10*('datos prec. compr.'!$BK6-SUM($O40:$U40))</f>
        <v>1561735688.7298408</v>
      </c>
      <c r="S55" s="466">
        <f>+[8]Hoja1!O10*('datos prec. compr.'!$BK6-SUM($O40:$U40))</f>
        <v>857421250.71757793</v>
      </c>
      <c r="T55" s="466">
        <f>+[8]Hoja1!P10*('datos prec. compr.'!$BK6-SUM($O40:$U40))</f>
        <v>479752534.61085695</v>
      </c>
      <c r="U55" s="466">
        <f>+[8]Hoja1!Q10*('datos prec. compr.'!$BK6-SUM($O40:$U40))</f>
        <v>3992960086.9818287</v>
      </c>
      <c r="V55" s="455"/>
      <c r="W55" s="455">
        <f>+'datos prec. compr.'!CF6</f>
        <v>0</v>
      </c>
      <c r="X55" s="455"/>
      <c r="Y55" s="455"/>
      <c r="Z55" s="455"/>
      <c r="AA55" s="455"/>
      <c r="AB55" s="455">
        <f>+[7]C_5!$G$16*1000000*'datos prec. compr.'!CD6/'datos prec. compr.'!$CD$17</f>
        <v>15990343.911986792</v>
      </c>
      <c r="AC55" s="455">
        <f>+'oferta-demanda'!$M$70/'oferta-demanda'!$M$69*'datos prec. compr.'!CD6</f>
        <v>88910480.250785634</v>
      </c>
      <c r="AD55" s="455">
        <f>+'datos prec. compr.'!CE6</f>
        <v>-2923483136</v>
      </c>
      <c r="AE55" s="461">
        <f>+'datos prec. compr.'!AF6</f>
        <v>38144828</v>
      </c>
      <c r="AF55" s="461">
        <f>+'datos prec. compr.'!AG6</f>
        <v>169157616</v>
      </c>
      <c r="AG55" s="461">
        <f>+'datos prec. compr.'!AH6</f>
        <v>119778520</v>
      </c>
      <c r="AH55" s="461">
        <f>+'datos prec. compr.'!AI6</f>
        <v>268072800</v>
      </c>
      <c r="AI55" s="461">
        <f>+'datos prec. compr.'!AJ6</f>
        <v>5756894208</v>
      </c>
      <c r="AJ55" s="461">
        <f>+'datos prec. compr.'!AK6</f>
        <v>390434912</v>
      </c>
      <c r="AK55" s="461">
        <f>+'datos prec. compr.'!AL6</f>
        <v>84625696</v>
      </c>
      <c r="AL55" s="461">
        <f>+'datos prec. compr.'!AM6</f>
        <v>121863616</v>
      </c>
      <c r="AM55" s="461">
        <f>+'datos prec. compr.'!AN6</f>
        <v>80718896</v>
      </c>
      <c r="AN55" s="461">
        <f>+'datos prec. compr.'!AO6</f>
        <v>59629600</v>
      </c>
      <c r="AO55" s="461">
        <f>+'datos prec. compr.'!AP6</f>
        <v>310868256</v>
      </c>
      <c r="AP55" s="461">
        <f>+'datos prec. compr.'!AQ6</f>
        <v>6611835</v>
      </c>
      <c r="AQ55" s="461">
        <f>+'datos prec. compr.'!AR6</f>
        <v>492563840</v>
      </c>
      <c r="AR55" s="461">
        <f>+'datos prec. compr.'!AS6</f>
        <v>841520960</v>
      </c>
      <c r="AS55" s="461">
        <f>+'datos prec. compr.'!AT6</f>
        <v>898857728</v>
      </c>
      <c r="AT55" s="464"/>
      <c r="AU55" s="464"/>
      <c r="AV55" s="464"/>
      <c r="AW55" s="464"/>
      <c r="AX55" s="464"/>
      <c r="AY55" s="464"/>
      <c r="AZ55" s="464"/>
      <c r="BA55" s="464"/>
      <c r="BB55" s="464"/>
      <c r="BC55" s="464"/>
      <c r="BD55" s="464"/>
      <c r="BE55" s="464"/>
      <c r="BF55" s="464"/>
      <c r="BG55" s="464"/>
      <c r="BH55" s="464"/>
      <c r="BI55" s="464"/>
      <c r="BJ55" s="464"/>
      <c r="BK55" s="455"/>
      <c r="BL55" s="455"/>
      <c r="BM55" s="455"/>
      <c r="BN55" s="455">
        <f>+'datos prec. compr.'!CC6</f>
        <v>4601138176</v>
      </c>
      <c r="BO55" s="458"/>
      <c r="BP55" s="455">
        <f t="shared" si="2"/>
        <v>23348742825.119545</v>
      </c>
      <c r="BQ55" s="347">
        <v>23236467052.451294</v>
      </c>
      <c r="BR55" s="418">
        <f t="shared" si="3"/>
        <v>-112275772.66825104</v>
      </c>
      <c r="BS55" s="644"/>
      <c r="BT55" s="644"/>
      <c r="BU55" s="644"/>
      <c r="BV55" s="644"/>
      <c r="BW55" s="644"/>
      <c r="BX55" s="644"/>
    </row>
    <row r="56" spans="3:108" ht="15" customHeight="1" x14ac:dyDescent="0.45">
      <c r="C56" s="827"/>
      <c r="D56" s="828"/>
      <c r="E56" s="829"/>
      <c r="F56" s="347">
        <v>6</v>
      </c>
      <c r="G56" s="767">
        <f t="shared" si="4"/>
        <v>44</v>
      </c>
      <c r="H56" s="455"/>
      <c r="I56" s="455"/>
      <c r="J56" s="455"/>
      <c r="K56" s="455"/>
      <c r="L56" s="455"/>
      <c r="M56" s="455"/>
      <c r="N56" s="455"/>
      <c r="O56" s="466">
        <f>+[8]Hoja1!K11*('datos prec. compr.'!$BK7-SUM($O41:$U41))</f>
        <v>2115475564.9311357</v>
      </c>
      <c r="P56" s="466">
        <f>+[8]Hoja1!L11*('datos prec. compr.'!$BK7-SUM($O41:$U41))</f>
        <v>304328064.11215776</v>
      </c>
      <c r="Q56" s="466">
        <f>+[8]Hoja1!M11*('datos prec. compr.'!$BK7-SUM($O41:$U41))</f>
        <v>1476108650.4904199</v>
      </c>
      <c r="R56" s="466">
        <f>+[8]Hoja1!N11*('datos prec. compr.'!$BK7-SUM($O41:$U41))</f>
        <v>839824216.55197167</v>
      </c>
      <c r="S56" s="466">
        <f>+[8]Hoja1!O11*('datos prec. compr.'!$BK7-SUM($O41:$U41))</f>
        <v>653333671.01496685</v>
      </c>
      <c r="T56" s="466">
        <f>+[8]Hoja1!P11*('datos prec. compr.'!$BK7-SUM($O41:$U41))</f>
        <v>341718486.08368385</v>
      </c>
      <c r="U56" s="466">
        <f>+[8]Hoja1!Q11*('datos prec. compr.'!$BK7-SUM($O41:$U41))</f>
        <v>5354623914.1467018</v>
      </c>
      <c r="V56" s="455"/>
      <c r="W56" s="455">
        <f>+'datos prec. compr.'!CF7</f>
        <v>0</v>
      </c>
      <c r="X56" s="455"/>
      <c r="Y56" s="455"/>
      <c r="Z56" s="455"/>
      <c r="AA56" s="455"/>
      <c r="AB56" s="455">
        <f>+[7]C_5!$G$16*1000000*'datos prec. compr.'!CD7/'datos prec. compr.'!$CD$17</f>
        <v>2348329716.4475336</v>
      </c>
      <c r="AC56" s="455">
        <f>+'oferta-demanda'!$M$70/'oferta-demanda'!$M$69*'datos prec. compr.'!CD7</f>
        <v>13057325347.4571</v>
      </c>
      <c r="AD56" s="455">
        <f>+'datos prec. compr.'!CE7</f>
        <v>-578428928</v>
      </c>
      <c r="AE56" s="461">
        <f>+'datos prec. compr.'!AF7</f>
        <v>420879040</v>
      </c>
      <c r="AF56" s="461">
        <f>+'datos prec. compr.'!AG7</f>
        <v>616802240</v>
      </c>
      <c r="AG56" s="461">
        <f>+'datos prec. compr.'!AH7</f>
        <v>2168434944</v>
      </c>
      <c r="AH56" s="461">
        <f>+'datos prec. compr.'!AI7</f>
        <v>1347833600</v>
      </c>
      <c r="AI56" s="461">
        <f>+'datos prec. compr.'!AJ7</f>
        <v>623515840</v>
      </c>
      <c r="AJ56" s="461">
        <f>+'datos prec. compr.'!AK7</f>
        <v>6779517440</v>
      </c>
      <c r="AK56" s="461">
        <f>+'datos prec. compr.'!AL7</f>
        <v>1425340288</v>
      </c>
      <c r="AL56" s="461">
        <f>+'datos prec. compr.'!AM7</f>
        <v>8387492864</v>
      </c>
      <c r="AM56" s="461">
        <f>+'datos prec. compr.'!AN7</f>
        <v>746430016</v>
      </c>
      <c r="AN56" s="461">
        <f>+'datos prec. compr.'!AO7</f>
        <v>2580300800</v>
      </c>
      <c r="AO56" s="461">
        <f>+'datos prec. compr.'!AP7</f>
        <v>291407840</v>
      </c>
      <c r="AP56" s="461">
        <f>+'datos prec. compr.'!AQ7</f>
        <v>639206336</v>
      </c>
      <c r="AQ56" s="461">
        <f>+'datos prec. compr.'!AR7</f>
        <v>985517376</v>
      </c>
      <c r="AR56" s="461">
        <f>+'datos prec. compr.'!AS7</f>
        <v>2277465600</v>
      </c>
      <c r="AS56" s="461">
        <f>+'datos prec. compr.'!AT7</f>
        <v>695785408</v>
      </c>
      <c r="AT56" s="464"/>
      <c r="AU56" s="464"/>
      <c r="AV56" s="464"/>
      <c r="AW56" s="464"/>
      <c r="AX56" s="464"/>
      <c r="AY56" s="464"/>
      <c r="AZ56" s="464"/>
      <c r="BA56" s="464"/>
      <c r="BB56" s="464"/>
      <c r="BC56" s="464"/>
      <c r="BD56" s="464"/>
      <c r="BE56" s="464"/>
      <c r="BF56" s="464"/>
      <c r="BG56" s="464"/>
      <c r="BH56" s="464"/>
      <c r="BI56" s="464"/>
      <c r="BJ56" s="464"/>
      <c r="BK56" s="455"/>
      <c r="BL56" s="455"/>
      <c r="BM56" s="455"/>
      <c r="BN56" s="455">
        <f>+'datos prec. compr.'!CC7</f>
        <v>2824658176</v>
      </c>
      <c r="BO56" s="458"/>
      <c r="BP56" s="455">
        <f t="shared" si="2"/>
        <v>58723226511.235672</v>
      </c>
      <c r="BQ56" s="347">
        <v>58170122175.401451</v>
      </c>
      <c r="BR56" s="418">
        <f t="shared" si="3"/>
        <v>-553104335.83422089</v>
      </c>
      <c r="BS56" s="644"/>
      <c r="BT56" s="644"/>
      <c r="BU56" s="644"/>
      <c r="BV56" s="644"/>
      <c r="BW56" s="644"/>
      <c r="BX56" s="644"/>
    </row>
    <row r="57" spans="3:108" ht="15" customHeight="1" x14ac:dyDescent="0.45">
      <c r="C57" s="827"/>
      <c r="D57" s="828"/>
      <c r="E57" s="829"/>
      <c r="F57" s="347">
        <v>7</v>
      </c>
      <c r="G57" s="767">
        <f t="shared" si="4"/>
        <v>45</v>
      </c>
      <c r="H57" s="455"/>
      <c r="I57" s="455"/>
      <c r="J57" s="455"/>
      <c r="K57" s="455"/>
      <c r="L57" s="455"/>
      <c r="M57" s="455"/>
      <c r="N57" s="455"/>
      <c r="O57" s="466">
        <f>+[8]Hoja1!K12*('datos prec. compr.'!$BK8-SUM($O42:$U42))</f>
        <v>1381272368.5987093</v>
      </c>
      <c r="P57" s="466">
        <f>+[8]Hoja1!L12*('datos prec. compr.'!$BK8-SUM($O42:$U42))</f>
        <v>161164338.7872659</v>
      </c>
      <c r="Q57" s="466">
        <f>+[8]Hoja1!M12*('datos prec. compr.'!$BK8-SUM($O42:$U42))</f>
        <v>1099107462.9119339</v>
      </c>
      <c r="R57" s="466">
        <f>+[8]Hoja1!N12*('datos prec. compr.'!$BK8-SUM($O42:$U42))</f>
        <v>417957558.27785772</v>
      </c>
      <c r="S57" s="466">
        <f>+[8]Hoja1!O12*('datos prec. compr.'!$BK8-SUM($O42:$U42))</f>
        <v>409879666.32961571</v>
      </c>
      <c r="T57" s="466">
        <f>+[8]Hoja1!P12*('datos prec. compr.'!$BK8-SUM($O42:$U42))</f>
        <v>151415705.94207072</v>
      </c>
      <c r="U57" s="466">
        <f>+[8]Hoja1!Q12*('datos prec. compr.'!$BK8-SUM($O42:$U42))</f>
        <v>3656069971.1525474</v>
      </c>
      <c r="V57" s="455"/>
      <c r="W57" s="455">
        <f>+'datos prec. compr.'!CF8</f>
        <v>0</v>
      </c>
      <c r="X57" s="455"/>
      <c r="Y57" s="455"/>
      <c r="Z57" s="455"/>
      <c r="AA57" s="455"/>
      <c r="AB57" s="455">
        <f>+[7]C_5!$G$16*1000000*'datos prec. compr.'!CD8/'datos prec. compr.'!$CD$17</f>
        <v>0</v>
      </c>
      <c r="AC57" s="455">
        <f>+'oferta-demanda'!$M$70/'oferta-demanda'!$M$69*'datos prec. compr.'!CD8</f>
        <v>0</v>
      </c>
      <c r="AD57" s="455">
        <f>+'datos prec. compr.'!CE8</f>
        <v>4432936960</v>
      </c>
      <c r="AE57" s="461">
        <f>+'datos prec. compr.'!AF8</f>
        <v>1628260992</v>
      </c>
      <c r="AF57" s="461">
        <f>+'datos prec. compr.'!AG8</f>
        <v>120788424</v>
      </c>
      <c r="AG57" s="461">
        <f>+'datos prec. compr.'!AH8</f>
        <v>913324416</v>
      </c>
      <c r="AH57" s="461">
        <f>+'datos prec. compr.'!AI8</f>
        <v>910335168</v>
      </c>
      <c r="AI57" s="461">
        <f>+'datos prec. compr.'!AJ8</f>
        <v>791323712</v>
      </c>
      <c r="AJ57" s="461">
        <f>+'datos prec. compr.'!AK8</f>
        <v>2818461952</v>
      </c>
      <c r="AK57" s="461">
        <f>+'datos prec. compr.'!AL8</f>
        <v>4313874432</v>
      </c>
      <c r="AL57" s="461">
        <f>+'datos prec. compr.'!AM8</f>
        <v>439784672</v>
      </c>
      <c r="AM57" s="461">
        <f>+'datos prec. compr.'!AN8</f>
        <v>429354880</v>
      </c>
      <c r="AN57" s="461">
        <f>+'datos prec. compr.'!AO8</f>
        <v>127860416</v>
      </c>
      <c r="AO57" s="461">
        <f>+'datos prec. compr.'!AP8</f>
        <v>584398784</v>
      </c>
      <c r="AP57" s="461">
        <f>+'datos prec. compr.'!AQ8</f>
        <v>604231040</v>
      </c>
      <c r="AQ57" s="461">
        <f>+'datos prec. compr.'!AR8</f>
        <v>506962080</v>
      </c>
      <c r="AR57" s="461">
        <f>+'datos prec. compr.'!AS8</f>
        <v>1252813056</v>
      </c>
      <c r="AS57" s="461">
        <f>+'datos prec. compr.'!AT8</f>
        <v>401456320</v>
      </c>
      <c r="AT57" s="464"/>
      <c r="AU57" s="464"/>
      <c r="AV57" s="464"/>
      <c r="AW57" s="464"/>
      <c r="AX57" s="464"/>
      <c r="AY57" s="464"/>
      <c r="AZ57" s="464"/>
      <c r="BA57" s="464"/>
      <c r="BB57" s="464"/>
      <c r="BC57" s="464"/>
      <c r="BD57" s="464"/>
      <c r="BE57" s="464"/>
      <c r="BF57" s="464"/>
      <c r="BG57" s="464"/>
      <c r="BH57" s="464"/>
      <c r="BI57" s="464"/>
      <c r="BJ57" s="464"/>
      <c r="BK57" s="455"/>
      <c r="BL57" s="455"/>
      <c r="BM57" s="455"/>
      <c r="BN57" s="455">
        <f>+'datos prec. compr.'!CC8</f>
        <v>1688494336</v>
      </c>
      <c r="BO57" s="458"/>
      <c r="BP57" s="455">
        <f t="shared" si="2"/>
        <v>29241528712</v>
      </c>
      <c r="BQ57" s="347">
        <v>28941000196</v>
      </c>
      <c r="BR57" s="418">
        <f t="shared" si="3"/>
        <v>-300528516</v>
      </c>
      <c r="BS57" s="644"/>
      <c r="BT57" s="644"/>
      <c r="BU57" s="644"/>
      <c r="BV57" s="644"/>
      <c r="BW57" s="644"/>
      <c r="BX57" s="644"/>
    </row>
    <row r="58" spans="3:108" ht="15" customHeight="1" x14ac:dyDescent="0.45">
      <c r="C58" s="827"/>
      <c r="D58" s="828"/>
      <c r="E58" s="829"/>
      <c r="F58" s="347">
        <v>8</v>
      </c>
      <c r="G58" s="767">
        <f t="shared" si="4"/>
        <v>46</v>
      </c>
      <c r="H58" s="455"/>
      <c r="I58" s="455"/>
      <c r="J58" s="455"/>
      <c r="K58" s="455"/>
      <c r="L58" s="455"/>
      <c r="M58" s="455"/>
      <c r="N58" s="455"/>
      <c r="O58" s="466">
        <f>+[8]Hoja1!K13*('datos prec. compr.'!$BK9-SUM($O43:$U43))</f>
        <v>38454140.742673129</v>
      </c>
      <c r="P58" s="466">
        <f>+[8]Hoja1!L13*('datos prec. compr.'!$BK9-SUM($O43:$U43))</f>
        <v>4486758.9530605245</v>
      </c>
      <c r="Q58" s="466">
        <f>+[8]Hoja1!M13*('datos prec. compr.'!$BK9-SUM($O43:$U43))</f>
        <v>30598768.23063916</v>
      </c>
      <c r="R58" s="466">
        <f>+[8]Hoja1!N13*('datos prec. compr.'!$BK9-SUM($O43:$U43))</f>
        <v>11635792.574918352</v>
      </c>
      <c r="S58" s="466">
        <f>+[8]Hoja1!O13*('datos prec. compr.'!$BK9-SUM($O43:$U43))</f>
        <v>11410906.881883794</v>
      </c>
      <c r="T58" s="466">
        <f>+[8]Hoja1!P13*('datos prec. compr.'!$BK9-SUM($O43:$U43))</f>
        <v>4215360.416464814</v>
      </c>
      <c r="U58" s="466">
        <f>+[8]Hoja1!Q13*('datos prec. compr.'!$BK9-SUM($O43:$U43))</f>
        <v>101783712.20036024</v>
      </c>
      <c r="V58" s="455"/>
      <c r="W58" s="455">
        <f>+'datos prec. compr.'!CF9</f>
        <v>0</v>
      </c>
      <c r="X58" s="455"/>
      <c r="Y58" s="455"/>
      <c r="Z58" s="455"/>
      <c r="AA58" s="455"/>
      <c r="AB58" s="455">
        <f>+[7]C_5!$G$16*1000000*'datos prec. compr.'!CD9/'datos prec. compr.'!$CD$17</f>
        <v>3715138237.2896013</v>
      </c>
      <c r="AC58" s="455">
        <f>+'oferta-demanda'!$M$70/'oferta-demanda'!$M$69*'datos prec. compr.'!CD9</f>
        <v>20657137000.528351</v>
      </c>
      <c r="AD58" s="455">
        <f>+'datos prec. compr.'!CE9</f>
        <v>1020770304</v>
      </c>
      <c r="AE58" s="461">
        <f>+'datos prec. compr.'!AF9</f>
        <v>0</v>
      </c>
      <c r="AF58" s="461">
        <f>+'datos prec. compr.'!AG9</f>
        <v>612973</v>
      </c>
      <c r="AG58" s="461">
        <f>+'datos prec. compr.'!AH9</f>
        <v>139418560</v>
      </c>
      <c r="AH58" s="461">
        <f>+'datos prec. compr.'!AI9</f>
        <v>8043272</v>
      </c>
      <c r="AI58" s="461">
        <f>+'datos prec. compr.'!AJ9</f>
        <v>20982298</v>
      </c>
      <c r="AJ58" s="461">
        <f>+'datos prec. compr.'!AK9</f>
        <v>22381096</v>
      </c>
      <c r="AK58" s="461">
        <f>+'datos prec. compr.'!AL9</f>
        <v>13290982</v>
      </c>
      <c r="AL58" s="461">
        <f>+'datos prec. compr.'!AM9</f>
        <v>39100372</v>
      </c>
      <c r="AM58" s="461">
        <f>+'datos prec. compr.'!AN9</f>
        <v>15939752</v>
      </c>
      <c r="AN58" s="461">
        <f>+'datos prec. compr.'!AO9</f>
        <v>106995280</v>
      </c>
      <c r="AO58" s="461">
        <f>+'datos prec. compr.'!AP9</f>
        <v>14007359</v>
      </c>
      <c r="AP58" s="461">
        <f>+'datos prec. compr.'!AQ9</f>
        <v>3004855</v>
      </c>
      <c r="AQ58" s="461">
        <f>+'datos prec. compr.'!AR9</f>
        <v>340329792</v>
      </c>
      <c r="AR58" s="461">
        <f>+'datos prec. compr.'!AS9</f>
        <v>217402064</v>
      </c>
      <c r="AS58" s="461">
        <f>+'datos prec. compr.'!AT9</f>
        <v>90694224</v>
      </c>
      <c r="AT58" s="464"/>
      <c r="AU58" s="464"/>
      <c r="AV58" s="464"/>
      <c r="AW58" s="464"/>
      <c r="AX58" s="464"/>
      <c r="AY58" s="464"/>
      <c r="AZ58" s="464"/>
      <c r="BA58" s="464"/>
      <c r="BB58" s="464"/>
      <c r="BC58" s="464"/>
      <c r="BD58" s="464"/>
      <c r="BE58" s="464"/>
      <c r="BF58" s="464"/>
      <c r="BG58" s="464"/>
      <c r="BH58" s="464"/>
      <c r="BI58" s="464"/>
      <c r="BJ58" s="464"/>
      <c r="BK58" s="455"/>
      <c r="BL58" s="455"/>
      <c r="BM58" s="455"/>
      <c r="BN58" s="455">
        <f>+'datos prec. compr.'!CC9</f>
        <v>0</v>
      </c>
      <c r="BO58" s="458"/>
      <c r="BP58" s="455">
        <f t="shared" si="2"/>
        <v>26627833860.817951</v>
      </c>
      <c r="BQ58" s="347">
        <v>26571223666</v>
      </c>
      <c r="BR58" s="418">
        <f t="shared" si="3"/>
        <v>-56610194.817951202</v>
      </c>
      <c r="BS58" s="644"/>
      <c r="BT58" s="644"/>
      <c r="BU58" s="644"/>
      <c r="BV58" s="644"/>
      <c r="BW58" s="644"/>
      <c r="BX58" s="644"/>
    </row>
    <row r="59" spans="3:108" ht="15" customHeight="1" x14ac:dyDescent="0.45">
      <c r="C59" s="827"/>
      <c r="D59" s="828"/>
      <c r="E59" s="829"/>
      <c r="F59" s="347">
        <v>9</v>
      </c>
      <c r="G59" s="767">
        <f t="shared" si="4"/>
        <v>47</v>
      </c>
      <c r="H59" s="455"/>
      <c r="I59" s="455"/>
      <c r="J59" s="455"/>
      <c r="K59" s="455"/>
      <c r="L59" s="455"/>
      <c r="M59" s="455"/>
      <c r="N59" s="455"/>
      <c r="O59" s="466">
        <f>+[8]Hoja1!K14*('datos prec. compr.'!$BK10-SUM($O44:$U44))</f>
        <v>0</v>
      </c>
      <c r="P59" s="466">
        <f>+[8]Hoja1!L14*('datos prec. compr.'!$BK10-SUM($O44:$U44))</f>
        <v>0</v>
      </c>
      <c r="Q59" s="466">
        <f>+[8]Hoja1!M14*('datos prec. compr.'!$BK10-SUM($O44:$U44))</f>
        <v>0</v>
      </c>
      <c r="R59" s="466">
        <f>+[8]Hoja1!N14*('datos prec. compr.'!$BK10-SUM($O44:$U44))</f>
        <v>0</v>
      </c>
      <c r="S59" s="466">
        <f>+[8]Hoja1!O14*('datos prec. compr.'!$BK10-SUM($O44:$U44))</f>
        <v>0</v>
      </c>
      <c r="T59" s="466">
        <f>+[8]Hoja1!P14*('datos prec. compr.'!$BK10-SUM($O44:$U44))</f>
        <v>0</v>
      </c>
      <c r="U59" s="466">
        <f>+[8]Hoja1!Q14*('datos prec. compr.'!$BK10-SUM($O44:$U44))</f>
        <v>0</v>
      </c>
      <c r="V59" s="455"/>
      <c r="W59" s="455">
        <f>+'datos prec. compr.'!CF10</f>
        <v>0</v>
      </c>
      <c r="X59" s="455"/>
      <c r="Y59" s="455"/>
      <c r="Z59" s="455"/>
      <c r="AA59" s="455"/>
      <c r="AB59" s="455">
        <f>+[7]C_5!$G$16*1000000*'datos prec. compr.'!CD10/'datos prec. compr.'!$CD$17</f>
        <v>0</v>
      </c>
      <c r="AC59" s="455">
        <f>+'oferta-demanda'!$M$70/'oferta-demanda'!$M$69*'datos prec. compr.'!CD10</f>
        <v>0</v>
      </c>
      <c r="AD59" s="455">
        <f>+'datos prec. compr.'!CE10</f>
        <v>0</v>
      </c>
      <c r="AE59" s="461">
        <f>+'datos prec. compr.'!AF10</f>
        <v>0</v>
      </c>
      <c r="AF59" s="461">
        <f>+'datos prec. compr.'!AG10</f>
        <v>0</v>
      </c>
      <c r="AG59" s="461">
        <f>+'datos prec. compr.'!AH10</f>
        <v>0</v>
      </c>
      <c r="AH59" s="461">
        <f>+'datos prec. compr.'!AI10</f>
        <v>0</v>
      </c>
      <c r="AI59" s="461">
        <f>+'datos prec. compr.'!AJ10</f>
        <v>0</v>
      </c>
      <c r="AJ59" s="461">
        <f>+'datos prec. compr.'!AK10</f>
        <v>0</v>
      </c>
      <c r="AK59" s="461">
        <f>+'datos prec. compr.'!AL10</f>
        <v>0</v>
      </c>
      <c r="AL59" s="461">
        <f>+'datos prec. compr.'!AM10</f>
        <v>0</v>
      </c>
      <c r="AM59" s="461">
        <f>+'datos prec. compr.'!AN10</f>
        <v>0</v>
      </c>
      <c r="AN59" s="461">
        <f>+'datos prec. compr.'!AO10</f>
        <v>0</v>
      </c>
      <c r="AO59" s="461">
        <f>+'datos prec. compr.'!AP10</f>
        <v>0</v>
      </c>
      <c r="AP59" s="461">
        <f>+'datos prec. compr.'!AQ10</f>
        <v>0</v>
      </c>
      <c r="AQ59" s="461">
        <f>+'datos prec. compr.'!AR10</f>
        <v>0</v>
      </c>
      <c r="AR59" s="461">
        <f>+'datos prec. compr.'!AS10</f>
        <v>0</v>
      </c>
      <c r="AS59" s="461">
        <f>+'datos prec. compr.'!AT10</f>
        <v>0</v>
      </c>
      <c r="AT59" s="464"/>
      <c r="AU59" s="464"/>
      <c r="AV59" s="464"/>
      <c r="AW59" s="464"/>
      <c r="AX59" s="464"/>
      <c r="AY59" s="464"/>
      <c r="AZ59" s="464"/>
      <c r="BA59" s="464"/>
      <c r="BB59" s="464"/>
      <c r="BC59" s="464"/>
      <c r="BD59" s="464"/>
      <c r="BE59" s="464"/>
      <c r="BF59" s="464"/>
      <c r="BG59" s="464"/>
      <c r="BH59" s="464"/>
      <c r="BI59" s="463">
        <f>+BP66</f>
        <v>37652508153.359032</v>
      </c>
      <c r="BJ59" s="463">
        <f>+BP67</f>
        <v>9776501582.6409645</v>
      </c>
      <c r="BK59" s="455"/>
      <c r="BL59" s="455"/>
      <c r="BM59" s="455"/>
      <c r="BN59" s="455">
        <f>+'datos prec. compr.'!CC10</f>
        <v>0</v>
      </c>
      <c r="BO59" s="458"/>
      <c r="BP59" s="455">
        <f t="shared" si="2"/>
        <v>47429009736</v>
      </c>
      <c r="BQ59" s="347">
        <v>47510980601</v>
      </c>
      <c r="BR59" s="418">
        <f t="shared" si="3"/>
        <v>81970865</v>
      </c>
      <c r="BS59" s="644"/>
      <c r="BT59" s="644"/>
      <c r="BU59" s="644"/>
      <c r="BV59" s="644"/>
      <c r="BW59" s="644"/>
      <c r="BX59" s="644"/>
    </row>
    <row r="60" spans="3:108" ht="15" customHeight="1" x14ac:dyDescent="0.45">
      <c r="C60" s="827"/>
      <c r="D60" s="828"/>
      <c r="E60" s="829"/>
      <c r="F60" s="347">
        <v>10</v>
      </c>
      <c r="G60" s="767">
        <f t="shared" si="4"/>
        <v>48</v>
      </c>
      <c r="H60" s="455"/>
      <c r="I60" s="455"/>
      <c r="J60" s="455"/>
      <c r="K60" s="455"/>
      <c r="L60" s="455"/>
      <c r="M60" s="455"/>
      <c r="N60" s="455"/>
      <c r="O60" s="466">
        <f>+[8]Hoja1!K15*('datos prec. compr.'!$BK11-SUM($O45:$U45))</f>
        <v>1862793773.1380374</v>
      </c>
      <c r="P60" s="466">
        <f>+[8]Hoja1!L15*('datos prec. compr.'!$BK11-SUM($O45:$U45))</f>
        <v>143101938.31987318</v>
      </c>
      <c r="Q60" s="466">
        <f>+[8]Hoja1!M15*('datos prec. compr.'!$BK11-SUM($O45:$U45))</f>
        <v>1680887035.4379137</v>
      </c>
      <c r="R60" s="466">
        <f>+[8]Hoja1!N15*('datos prec. compr.'!$BK11-SUM($O45:$U45))</f>
        <v>464859276.80628783</v>
      </c>
      <c r="S60" s="466">
        <f>+[8]Hoja1!O15*('datos prec. compr.'!$BK11-SUM($O45:$U45))</f>
        <v>607802464.01764727</v>
      </c>
      <c r="T60" s="466">
        <f>+[8]Hoja1!P15*('datos prec. compr.'!$BK11-SUM($O45:$U45))</f>
        <v>147012293.22618455</v>
      </c>
      <c r="U60" s="466">
        <f>+[8]Hoja1!Q15*('datos prec. compr.'!$BK11-SUM($O45:$U45))</f>
        <v>6731933608.9514923</v>
      </c>
      <c r="V60" s="455"/>
      <c r="W60" s="455">
        <f>+'datos prec. compr.'!CF11</f>
        <v>0</v>
      </c>
      <c r="X60" s="455"/>
      <c r="Y60" s="455"/>
      <c r="Z60" s="455"/>
      <c r="AA60" s="455"/>
      <c r="AB60" s="455">
        <f>+[7]C_5!$G$16*1000000*'datos prec. compr.'!CD11/'datos prec. compr.'!$CD$17</f>
        <v>0</v>
      </c>
      <c r="AC60" s="455">
        <f>+'oferta-demanda'!$M$70/'oferta-demanda'!$M$69*'datos prec. compr.'!CD11</f>
        <v>0</v>
      </c>
      <c r="AD60" s="455">
        <f>+'datos prec. compr.'!CE11</f>
        <v>2756280320</v>
      </c>
      <c r="AE60" s="461">
        <f>+'datos prec. compr.'!AF11</f>
        <v>304317504</v>
      </c>
      <c r="AF60" s="461">
        <f>+'datos prec. compr.'!AG11</f>
        <v>256406576</v>
      </c>
      <c r="AG60" s="461">
        <f>+'datos prec. compr.'!AH11</f>
        <v>2474680576</v>
      </c>
      <c r="AH60" s="461">
        <f>+'datos prec. compr.'!AI11</f>
        <v>1437746816</v>
      </c>
      <c r="AI60" s="461">
        <f>+'datos prec. compr.'!AJ11</f>
        <v>638096064</v>
      </c>
      <c r="AJ60" s="461">
        <f>+'datos prec. compr.'!AK11</f>
        <v>1055292672</v>
      </c>
      <c r="AK60" s="461">
        <f>+'datos prec. compr.'!AL11</f>
        <v>456163456</v>
      </c>
      <c r="AL60" s="461">
        <f>+'datos prec. compr.'!AM11</f>
        <v>825050176</v>
      </c>
      <c r="AM60" s="461">
        <f>+'datos prec. compr.'!AN11</f>
        <v>6480804864</v>
      </c>
      <c r="AN60" s="461">
        <f>+'datos prec. compr.'!AO11</f>
        <v>2461726208</v>
      </c>
      <c r="AO60" s="461">
        <f>+'datos prec. compr.'!AP11</f>
        <v>107161184</v>
      </c>
      <c r="AP60" s="461">
        <f>+'datos prec. compr.'!AQ11</f>
        <v>212755872</v>
      </c>
      <c r="AQ60" s="461">
        <f>+'datos prec. compr.'!AR11</f>
        <v>716754560</v>
      </c>
      <c r="AR60" s="461">
        <f>+'datos prec. compr.'!AS11</f>
        <v>1519395200</v>
      </c>
      <c r="AS60" s="461">
        <f>+'datos prec. compr.'!AT11</f>
        <v>727837952</v>
      </c>
      <c r="AT60" s="464"/>
      <c r="AU60" s="464"/>
      <c r="AV60" s="464"/>
      <c r="AW60" s="464"/>
      <c r="AX60" s="464"/>
      <c r="AY60" s="464"/>
      <c r="AZ60" s="464"/>
      <c r="BA60" s="464"/>
      <c r="BB60" s="464"/>
      <c r="BC60" s="464"/>
      <c r="BD60" s="464"/>
      <c r="BE60" s="464"/>
      <c r="BF60" s="464"/>
      <c r="BG60" s="464"/>
      <c r="BH60" s="464"/>
      <c r="BI60" s="464"/>
      <c r="BJ60" s="464"/>
      <c r="BK60" s="455"/>
      <c r="BL60" s="455"/>
      <c r="BM60" s="455"/>
      <c r="BN60" s="455">
        <f>+'datos prec. compr.'!CC11</f>
        <v>0</v>
      </c>
      <c r="BO60" s="458"/>
      <c r="BP60" s="455">
        <f t="shared" si="2"/>
        <v>34068860389.897438</v>
      </c>
      <c r="BQ60" s="347">
        <v>34078758329.4006</v>
      </c>
      <c r="BR60" s="418">
        <f t="shared" si="3"/>
        <v>9897939.503162384</v>
      </c>
      <c r="BS60" s="644"/>
      <c r="BT60" s="644"/>
      <c r="BU60" s="644"/>
      <c r="BV60" s="644"/>
      <c r="BW60" s="644"/>
      <c r="BX60" s="644"/>
    </row>
    <row r="61" spans="3:108" ht="15" customHeight="1" x14ac:dyDescent="0.45">
      <c r="C61" s="827"/>
      <c r="D61" s="828"/>
      <c r="E61" s="829"/>
      <c r="F61" s="347">
        <v>11</v>
      </c>
      <c r="G61" s="767">
        <f t="shared" si="4"/>
        <v>49</v>
      </c>
      <c r="H61" s="455"/>
      <c r="I61" s="455"/>
      <c r="J61" s="455"/>
      <c r="K61" s="455"/>
      <c r="L61" s="455"/>
      <c r="M61" s="455"/>
      <c r="N61" s="455"/>
      <c r="O61" s="466">
        <f>+[8]Hoja1!K16*('datos prec. compr.'!$BK12-SUM($O46:$U46))</f>
        <v>1073807619.6853869</v>
      </c>
      <c r="P61" s="466">
        <f>+[8]Hoja1!L16*('datos prec. compr.'!$BK12-SUM($O46:$U46))</f>
        <v>172034940.07860255</v>
      </c>
      <c r="Q61" s="466">
        <f>+[8]Hoja1!M16*('datos prec. compr.'!$BK12-SUM($O46:$U46))</f>
        <v>793327844.30427885</v>
      </c>
      <c r="R61" s="466">
        <f>+[8]Hoja1!N16*('datos prec. compr.'!$BK12-SUM($O46:$U46))</f>
        <v>359422227.36075974</v>
      </c>
      <c r="S61" s="466">
        <f>+[8]Hoja1!O16*('datos prec. compr.'!$BK12-SUM($O46:$U46))</f>
        <v>279433723.7512778</v>
      </c>
      <c r="T61" s="466">
        <f>+[8]Hoja1!P16*('datos prec. compr.'!$BK12-SUM($O46:$U46))</f>
        <v>143995697.43456486</v>
      </c>
      <c r="U61" s="466">
        <f>+[8]Hoja1!Q16*('datos prec. compr.'!$BK12-SUM($O46:$U46))</f>
        <v>2742416472.4095349</v>
      </c>
      <c r="V61" s="455"/>
      <c r="W61" s="455">
        <f>+'datos prec. compr.'!CF12</f>
        <v>0</v>
      </c>
      <c r="X61" s="455"/>
      <c r="Y61" s="455"/>
      <c r="Z61" s="455"/>
      <c r="AA61" s="455"/>
      <c r="AB61" s="455">
        <f>+[7]C_5!$G$16*1000000*'datos prec. compr.'!CD12/'datos prec. compr.'!$CD$17</f>
        <v>0</v>
      </c>
      <c r="AC61" s="455">
        <f>+'oferta-demanda'!$M$70/'oferta-demanda'!$M$69*'datos prec. compr.'!CD12</f>
        <v>0</v>
      </c>
      <c r="AD61" s="455">
        <f>+'datos prec. compr.'!CE12</f>
        <v>868860928</v>
      </c>
      <c r="AE61" s="461">
        <f>+'datos prec. compr.'!AF12</f>
        <v>0</v>
      </c>
      <c r="AF61" s="461">
        <f>+'datos prec. compr.'!AG12</f>
        <v>0</v>
      </c>
      <c r="AG61" s="461">
        <f>+'datos prec. compr.'!AH12</f>
        <v>0</v>
      </c>
      <c r="AH61" s="461">
        <f>+'datos prec. compr.'!AI12</f>
        <v>0</v>
      </c>
      <c r="AI61" s="461">
        <f>+'datos prec. compr.'!AJ12</f>
        <v>0</v>
      </c>
      <c r="AJ61" s="461">
        <f>+'datos prec. compr.'!AK12</f>
        <v>0</v>
      </c>
      <c r="AK61" s="461">
        <f>+'datos prec. compr.'!AL12</f>
        <v>0</v>
      </c>
      <c r="AL61" s="461">
        <f>+'datos prec. compr.'!AM12</f>
        <v>0</v>
      </c>
      <c r="AM61" s="461">
        <f>+'datos prec. compr.'!AN12</f>
        <v>0</v>
      </c>
      <c r="AN61" s="461">
        <f>+'datos prec. compr.'!AO12</f>
        <v>0</v>
      </c>
      <c r="AO61" s="461">
        <f>+'datos prec. compr.'!AP12</f>
        <v>13646836</v>
      </c>
      <c r="AP61" s="461">
        <f>+'datos prec. compr.'!AQ12</f>
        <v>0</v>
      </c>
      <c r="AQ61" s="461">
        <f>+'datos prec. compr.'!AR12</f>
        <v>0</v>
      </c>
      <c r="AR61" s="461">
        <f>+'datos prec. compr.'!AS12</f>
        <v>0</v>
      </c>
      <c r="AS61" s="461">
        <f>+'datos prec. compr.'!AT12</f>
        <v>0</v>
      </c>
      <c r="AT61" s="464"/>
      <c r="AU61" s="464"/>
      <c r="AV61" s="464"/>
      <c r="AW61" s="464"/>
      <c r="AX61" s="464"/>
      <c r="AY61" s="464"/>
      <c r="AZ61" s="464"/>
      <c r="BA61" s="464"/>
      <c r="BB61" s="464"/>
      <c r="BC61" s="464"/>
      <c r="BD61" s="464"/>
      <c r="BE61" s="464"/>
      <c r="BF61" s="464"/>
      <c r="BG61" s="464"/>
      <c r="BH61" s="464"/>
      <c r="BI61" s="464"/>
      <c r="BJ61" s="464"/>
      <c r="BK61" s="455"/>
      <c r="BL61" s="455"/>
      <c r="BM61" s="455"/>
      <c r="BN61" s="455">
        <f>+'datos prec. compr.'!CC12</f>
        <v>0</v>
      </c>
      <c r="BO61" s="458"/>
      <c r="BP61" s="455">
        <f t="shared" si="2"/>
        <v>6446946289.0244064</v>
      </c>
      <c r="BQ61" s="347">
        <v>6458117221.3418217</v>
      </c>
      <c r="BR61" s="418">
        <f t="shared" si="3"/>
        <v>11170932.317415237</v>
      </c>
      <c r="BS61" s="644"/>
      <c r="BT61" s="644"/>
      <c r="BU61" s="644"/>
      <c r="BV61" s="644"/>
      <c r="BW61" s="644"/>
      <c r="BX61" s="644"/>
    </row>
    <row r="62" spans="3:108" ht="15" customHeight="1" x14ac:dyDescent="0.45">
      <c r="C62" s="827"/>
      <c r="D62" s="828"/>
      <c r="E62" s="829"/>
      <c r="F62" s="347">
        <v>12</v>
      </c>
      <c r="G62" s="767">
        <f t="shared" si="4"/>
        <v>50</v>
      </c>
      <c r="H62" s="455"/>
      <c r="I62" s="455"/>
      <c r="J62" s="455"/>
      <c r="K62" s="455"/>
      <c r="L62" s="455"/>
      <c r="M62" s="455"/>
      <c r="N62" s="455"/>
      <c r="O62" s="466">
        <f>+[8]Hoja1!K17*('datos prec. compr.'!$BK13-SUM($O47:$U47))</f>
        <v>1832713319.4570839</v>
      </c>
      <c r="P62" s="466">
        <f>+[8]Hoja1!L17*('datos prec. compr.'!$BK13-SUM($O47:$U47))</f>
        <v>114046536.13475551</v>
      </c>
      <c r="Q62" s="466">
        <f>+[8]Hoja1!M17*('datos prec. compr.'!$BK13-SUM($O47:$U47))</f>
        <v>1570590454.5219512</v>
      </c>
      <c r="R62" s="466">
        <f>+[8]Hoja1!N17*('datos prec. compr.'!$BK13-SUM($O47:$U47))</f>
        <v>328472395.83387542</v>
      </c>
      <c r="S62" s="466">
        <f>+[8]Hoja1!O17*('datos prec. compr.'!$BK13-SUM($O47:$U47))</f>
        <v>431988109.49484676</v>
      </c>
      <c r="T62" s="466">
        <f>+[8]Hoja1!P17*('datos prec. compr.'!$BK13-SUM($O47:$U47))</f>
        <v>98009203.04011704</v>
      </c>
      <c r="U62" s="466">
        <f>+[8]Hoja1!Q17*('datos prec. compr.'!$BK13-SUM($O47:$U47))</f>
        <v>6111880510.4561024</v>
      </c>
      <c r="V62" s="455"/>
      <c r="W62" s="455">
        <f>+'datos prec. compr.'!CF13</f>
        <v>0</v>
      </c>
      <c r="X62" s="455"/>
      <c r="Y62" s="455"/>
      <c r="Z62" s="455"/>
      <c r="AA62" s="455"/>
      <c r="AB62" s="455">
        <f>+[7]C_5!$G$16*1000000*'datos prec. compr.'!CD13/'datos prec. compr.'!$CD$17</f>
        <v>0</v>
      </c>
      <c r="AC62" s="455">
        <f>+'oferta-demanda'!$M$70/'oferta-demanda'!$M$69*'datos prec. compr.'!CD13</f>
        <v>0</v>
      </c>
      <c r="AD62" s="455">
        <f>+'datos prec. compr.'!CE13</f>
        <v>-717250560</v>
      </c>
      <c r="AE62" s="461">
        <f>+'datos prec. compr.'!AF13</f>
        <v>0</v>
      </c>
      <c r="AF62" s="461">
        <f>+'datos prec. compr.'!AG13</f>
        <v>1456796</v>
      </c>
      <c r="AG62" s="461">
        <f>+'datos prec. compr.'!AH13</f>
        <v>18620580</v>
      </c>
      <c r="AH62" s="461">
        <f>+'datos prec. compr.'!AI13</f>
        <v>6257316</v>
      </c>
      <c r="AI62" s="461">
        <f>+'datos prec. compr.'!AJ13</f>
        <v>35581928</v>
      </c>
      <c r="AJ62" s="461">
        <f>+'datos prec. compr.'!AK13</f>
        <v>54472204</v>
      </c>
      <c r="AK62" s="461">
        <f>+'datos prec. compr.'!AL13</f>
        <v>0</v>
      </c>
      <c r="AL62" s="461">
        <f>+'datos prec. compr.'!AM13</f>
        <v>41009996</v>
      </c>
      <c r="AM62" s="461">
        <f>+'datos prec. compr.'!AN13</f>
        <v>15465498</v>
      </c>
      <c r="AN62" s="461">
        <f>+'datos prec. compr.'!AO13</f>
        <v>6271478</v>
      </c>
      <c r="AO62" s="461">
        <f>+'datos prec. compr.'!AP13</f>
        <v>3681200</v>
      </c>
      <c r="AP62" s="461">
        <f>+'datos prec. compr.'!AQ13</f>
        <v>74590904</v>
      </c>
      <c r="AQ62" s="461">
        <f>+'datos prec. compr.'!AR13</f>
        <v>28056364</v>
      </c>
      <c r="AR62" s="461">
        <f>+'datos prec. compr.'!AS13</f>
        <v>398105280</v>
      </c>
      <c r="AS62" s="461">
        <f>+'datos prec. compr.'!AT13</f>
        <v>3281599</v>
      </c>
      <c r="AT62" s="464"/>
      <c r="AU62" s="464"/>
      <c r="AV62" s="464"/>
      <c r="AW62" s="464"/>
      <c r="AX62" s="464"/>
      <c r="AY62" s="464"/>
      <c r="AZ62" s="464"/>
      <c r="BA62" s="464"/>
      <c r="BB62" s="464"/>
      <c r="BC62" s="464"/>
      <c r="BD62" s="464"/>
      <c r="BE62" s="464"/>
      <c r="BF62" s="464"/>
      <c r="BG62" s="464"/>
      <c r="BH62" s="464"/>
      <c r="BI62" s="464"/>
      <c r="BJ62" s="464"/>
      <c r="BK62" s="455"/>
      <c r="BL62" s="455"/>
      <c r="BM62" s="455"/>
      <c r="BN62" s="455">
        <f>+'datos prec. compr.'!CC13</f>
        <v>0</v>
      </c>
      <c r="BO62" s="458"/>
      <c r="BP62" s="455">
        <f t="shared" si="2"/>
        <v>10457301111.938732</v>
      </c>
      <c r="BQ62" s="347">
        <v>10465936345.136669</v>
      </c>
      <c r="BR62" s="418">
        <f t="shared" si="3"/>
        <v>8635233.1979370117</v>
      </c>
      <c r="BS62" s="644"/>
      <c r="BT62" s="644"/>
      <c r="BU62" s="644"/>
      <c r="BV62" s="644"/>
      <c r="BW62" s="644"/>
      <c r="BX62" s="644"/>
    </row>
    <row r="63" spans="3:108" ht="15" customHeight="1" x14ac:dyDescent="0.45">
      <c r="C63" s="827"/>
      <c r="D63" s="828"/>
      <c r="E63" s="829"/>
      <c r="F63" s="347">
        <v>13</v>
      </c>
      <c r="G63" s="767">
        <f t="shared" si="4"/>
        <v>51</v>
      </c>
      <c r="H63" s="455"/>
      <c r="I63" s="455"/>
      <c r="J63" s="455"/>
      <c r="K63" s="455"/>
      <c r="L63" s="455"/>
      <c r="M63" s="455"/>
      <c r="N63" s="455"/>
      <c r="O63" s="466">
        <f>+[8]Hoja1!K18*('datos prec. compr.'!$BK14-SUM($O48:$U48))</f>
        <v>153932355.29714754</v>
      </c>
      <c r="P63" s="466">
        <f>+[8]Hoja1!L18*('datos prec. compr.'!$BK14-SUM($O48:$U48))</f>
        <v>25635275.49742521</v>
      </c>
      <c r="Q63" s="466">
        <f>+[8]Hoja1!M18*('datos prec. compr.'!$BK14-SUM($O48:$U48))</f>
        <v>103887871.70119295</v>
      </c>
      <c r="R63" s="466">
        <f>+[8]Hoja1!N18*('datos prec. compr.'!$BK14-SUM($O48:$U48))</f>
        <v>38874991.694425851</v>
      </c>
      <c r="S63" s="466">
        <f>+[8]Hoja1!O18*('datos prec. compr.'!$BK14-SUM($O48:$U48))</f>
        <v>34843035.025788024</v>
      </c>
      <c r="T63" s="466">
        <f>+[8]Hoja1!P18*('datos prec. compr.'!$BK14-SUM($O48:$U48))</f>
        <v>18875824.866945859</v>
      </c>
      <c r="U63" s="466">
        <f>+[8]Hoja1!Q18*('datos prec. compr.'!$BK14-SUM($O48:$U48))</f>
        <v>318619445.91707456</v>
      </c>
      <c r="V63" s="455"/>
      <c r="W63" s="455">
        <f>+'datos prec. compr.'!CF14-SUM(X20:Z26)</f>
        <v>12297003576.999998</v>
      </c>
      <c r="X63" s="455"/>
      <c r="Y63" s="455"/>
      <c r="Z63" s="455"/>
      <c r="AA63" s="455">
        <f>+SUM(X73:Z73)</f>
        <v>10766646727</v>
      </c>
      <c r="AB63" s="455">
        <f>+[7]C_5!$G$16*1000000*'datos prec. compr.'!CD14/'datos prec. compr.'!$CD$17</f>
        <v>0</v>
      </c>
      <c r="AC63" s="455">
        <f>+'oferta-demanda'!$M$70/'oferta-demanda'!$M$69*'datos prec. compr.'!CD14</f>
        <v>0</v>
      </c>
      <c r="AD63" s="455">
        <f>+'datos prec. compr.'!CE14</f>
        <v>-3076442112</v>
      </c>
      <c r="AE63" s="461">
        <f>+'datos prec. compr.'!AF14</f>
        <v>0</v>
      </c>
      <c r="AF63" s="461">
        <f>+'datos prec. compr.'!AG14</f>
        <v>0</v>
      </c>
      <c r="AG63" s="461">
        <f>+'datos prec. compr.'!AH14</f>
        <v>0</v>
      </c>
      <c r="AH63" s="461">
        <f>+'datos prec. compr.'!AI14</f>
        <v>0</v>
      </c>
      <c r="AI63" s="461">
        <f>+'datos prec. compr.'!AJ14</f>
        <v>0</v>
      </c>
      <c r="AJ63" s="461">
        <f>+'datos prec. compr.'!AK14</f>
        <v>0</v>
      </c>
      <c r="AK63" s="461">
        <f>+'datos prec. compr.'!AL14</f>
        <v>0</v>
      </c>
      <c r="AL63" s="461">
        <f>+'datos prec. compr.'!AM14</f>
        <v>0</v>
      </c>
      <c r="AM63" s="461">
        <f>+'datos prec. compr.'!AN14</f>
        <v>0</v>
      </c>
      <c r="AN63" s="461">
        <f>+'datos prec. compr.'!AO14</f>
        <v>0</v>
      </c>
      <c r="AO63" s="461">
        <f>+'datos prec. compr.'!AP14</f>
        <v>0</v>
      </c>
      <c r="AP63" s="461">
        <f>+'datos prec. compr.'!AQ14</f>
        <v>0</v>
      </c>
      <c r="AQ63" s="461">
        <f>+'datos prec. compr.'!AR14</f>
        <v>0</v>
      </c>
      <c r="AR63" s="461">
        <f>+'datos prec. compr.'!AS14</f>
        <v>0</v>
      </c>
      <c r="AS63" s="461">
        <f>+'datos prec. compr.'!AT14</f>
        <v>0</v>
      </c>
      <c r="AT63" s="464"/>
      <c r="AU63" s="464"/>
      <c r="AV63" s="464"/>
      <c r="AW63" s="464"/>
      <c r="AX63" s="464"/>
      <c r="AY63" s="464"/>
      <c r="AZ63" s="464"/>
      <c r="BA63" s="464"/>
      <c r="BB63" s="464"/>
      <c r="BC63" s="464"/>
      <c r="BD63" s="464"/>
      <c r="BE63" s="464"/>
      <c r="BF63" s="464"/>
      <c r="BG63" s="464"/>
      <c r="BH63" s="464"/>
      <c r="BI63" s="455"/>
      <c r="BJ63" s="455"/>
      <c r="BK63" s="455"/>
      <c r="BL63" s="455"/>
      <c r="BM63" s="455"/>
      <c r="BN63" s="455">
        <f>+'datos prec. compr.'!CC14</f>
        <v>0</v>
      </c>
      <c r="BO63" s="458"/>
      <c r="BP63" s="455">
        <f t="shared" si="2"/>
        <v>20681876992</v>
      </c>
      <c r="BQ63" s="347">
        <v>20717623296</v>
      </c>
      <c r="BR63" s="418">
        <f t="shared" si="3"/>
        <v>35746304</v>
      </c>
      <c r="BS63" s="644"/>
      <c r="BT63" s="644"/>
      <c r="BU63" s="644"/>
      <c r="BV63" s="644"/>
      <c r="BW63" s="644"/>
      <c r="BX63" s="644"/>
    </row>
    <row r="64" spans="3:108" ht="15" customHeight="1" x14ac:dyDescent="0.45">
      <c r="C64" s="827"/>
      <c r="D64" s="828"/>
      <c r="E64" s="829"/>
      <c r="F64" s="347">
        <v>14</v>
      </c>
      <c r="G64" s="767">
        <f t="shared" si="4"/>
        <v>52</v>
      </c>
      <c r="H64" s="455"/>
      <c r="I64" s="455"/>
      <c r="J64" s="455"/>
      <c r="K64" s="455"/>
      <c r="L64" s="455"/>
      <c r="M64" s="455"/>
      <c r="N64" s="455"/>
      <c r="O64" s="466">
        <f>+[8]Hoja1!K19*('datos prec. compr.'!$BK15-SUM($O49:$U49))</f>
        <v>3190768170.8693962</v>
      </c>
      <c r="P64" s="466">
        <f>+[8]Hoja1!L19*('datos prec. compr.'!$BK15-SUM($O49:$U49))</f>
        <v>372293006.1963889</v>
      </c>
      <c r="Q64" s="466">
        <f>+[8]Hoja1!M19*('datos prec. compr.'!$BK15-SUM($O49:$U49))</f>
        <v>2538961314.7638917</v>
      </c>
      <c r="R64" s="466">
        <f>+[8]Hoja1!N19*('datos prec. compr.'!$BK15-SUM($O49:$U49))</f>
        <v>965490734.51763344</v>
      </c>
      <c r="S64" s="466">
        <f>+[8]Hoja1!O19*('datos prec. compr.'!$BK15-SUM($O49:$U49))</f>
        <v>946830634.5242331</v>
      </c>
      <c r="T64" s="466">
        <f>+[8]Hoja1!P19*('datos prec. compr.'!$BK15-SUM($O49:$U49))</f>
        <v>349773459.65431398</v>
      </c>
      <c r="U64" s="466">
        <f>+[8]Hoja1!Q19*('datos prec. compr.'!$BK15-SUM($O49:$U49))</f>
        <v>8445598391.474143</v>
      </c>
      <c r="V64" s="455"/>
      <c r="W64" s="455">
        <f>+'datos prec. compr.'!CF15</f>
        <v>0</v>
      </c>
      <c r="X64" s="455"/>
      <c r="Y64" s="455"/>
      <c r="Z64" s="455"/>
      <c r="AA64" s="455"/>
      <c r="AB64" s="455">
        <f>+[7]C_5!$G$16*1000000*'datos prec. compr.'!CD15/'datos prec. compr.'!$CD$17</f>
        <v>208808854.46097231</v>
      </c>
      <c r="AC64" s="455">
        <f>+'oferta-demanda'!$M$70/'oferta-demanda'!$M$69*'datos prec. compr.'!CD15</f>
        <v>1161031659.6645806</v>
      </c>
      <c r="AD64" s="455">
        <f>+'datos prec. compr.'!CE15</f>
        <v>-985772032</v>
      </c>
      <c r="AE64" s="461">
        <f>+'datos prec. compr.'!AF15</f>
        <v>884305664</v>
      </c>
      <c r="AF64" s="461">
        <f>+'datos prec. compr.'!AG15</f>
        <v>426933440</v>
      </c>
      <c r="AG64" s="461">
        <f>+'datos prec. compr.'!AH15</f>
        <v>3217370880</v>
      </c>
      <c r="AH64" s="461">
        <f>+'datos prec. compr.'!AI15</f>
        <v>1773614464</v>
      </c>
      <c r="AI64" s="461">
        <f>+'datos prec. compr.'!AJ15</f>
        <v>1089521792</v>
      </c>
      <c r="AJ64" s="461">
        <f>+'datos prec. compr.'!AK15</f>
        <v>2507231232</v>
      </c>
      <c r="AK64" s="461">
        <f>+'datos prec. compr.'!AL15</f>
        <v>1155831680</v>
      </c>
      <c r="AL64" s="461">
        <f>+'datos prec. compr.'!AM15</f>
        <v>1377506688</v>
      </c>
      <c r="AM64" s="461">
        <f>+'datos prec. compr.'!AN15</f>
        <v>4395428352</v>
      </c>
      <c r="AN64" s="461">
        <f>+'datos prec. compr.'!AO15</f>
        <v>6111518720</v>
      </c>
      <c r="AO64" s="461">
        <f>+'datos prec. compr.'!AP15</f>
        <v>1231432448</v>
      </c>
      <c r="AP64" s="461">
        <f>+'datos prec. compr.'!AQ15</f>
        <v>1068868224</v>
      </c>
      <c r="AQ64" s="461">
        <f>+'datos prec. compr.'!AR15</f>
        <v>2186349312</v>
      </c>
      <c r="AR64" s="461">
        <f>+'datos prec. compr.'!AS15</f>
        <v>10282030080</v>
      </c>
      <c r="AS64" s="461">
        <f>+'datos prec. compr.'!AT15</f>
        <v>1567722752</v>
      </c>
      <c r="AT64" s="464"/>
      <c r="AU64" s="464"/>
      <c r="AV64" s="464"/>
      <c r="AW64" s="464"/>
      <c r="AX64" s="464"/>
      <c r="AY64" s="464"/>
      <c r="AZ64" s="464"/>
      <c r="BA64" s="464"/>
      <c r="BB64" s="464"/>
      <c r="BC64" s="464"/>
      <c r="BD64" s="464"/>
      <c r="BE64" s="464"/>
      <c r="BF64" s="464"/>
      <c r="BG64" s="464"/>
      <c r="BH64" s="464"/>
      <c r="BI64" s="455"/>
      <c r="BJ64" s="455"/>
      <c r="BK64" s="455"/>
      <c r="BL64" s="455"/>
      <c r="BM64" s="455"/>
      <c r="BN64" s="455">
        <f>+'datos prec. compr.'!CC15</f>
        <v>0</v>
      </c>
      <c r="BO64" s="458"/>
      <c r="BP64" s="455">
        <f t="shared" si="2"/>
        <v>56469449922.125549</v>
      </c>
      <c r="BQ64" s="347">
        <v>56386929637</v>
      </c>
      <c r="BR64" s="418">
        <f t="shared" si="3"/>
        <v>-82520285.125549316</v>
      </c>
      <c r="BS64" s="644"/>
      <c r="BT64" s="644"/>
      <c r="BU64" s="644"/>
      <c r="BV64" s="644"/>
      <c r="BW64" s="644"/>
      <c r="BX64" s="644"/>
    </row>
    <row r="65" spans="3:76" ht="15" customHeight="1" x14ac:dyDescent="0.45">
      <c r="C65" s="827"/>
      <c r="D65" s="828"/>
      <c r="E65" s="829"/>
      <c r="F65" s="347">
        <v>15</v>
      </c>
      <c r="G65" s="767">
        <f t="shared" si="4"/>
        <v>53</v>
      </c>
      <c r="H65" s="455"/>
      <c r="I65" s="455"/>
      <c r="J65" s="455"/>
      <c r="K65" s="455"/>
      <c r="L65" s="455"/>
      <c r="M65" s="455"/>
      <c r="N65" s="455"/>
      <c r="O65" s="466">
        <f>+[8]Hoja1!K20*('datos prec. compr.'!$BK16-SUM($O50:$U50))</f>
        <v>3035793560.8463025</v>
      </c>
      <c r="P65" s="466">
        <f>+[8]Hoja1!L20*('datos prec. compr.'!$BK16-SUM($O50:$U50))</f>
        <v>348989474.85050219</v>
      </c>
      <c r="Q65" s="466">
        <f>+[8]Hoja1!M20*('datos prec. compr.'!$BK16-SUM($O50:$U50))</f>
        <v>2578534565.165062</v>
      </c>
      <c r="R65" s="466">
        <f>+[8]Hoja1!N20*('datos prec. compr.'!$BK16-SUM($O50:$U50))</f>
        <v>1209876720.8244843</v>
      </c>
      <c r="S65" s="466">
        <f>+[8]Hoja1!O20*('datos prec. compr.'!$BK16-SUM($O50:$U50))</f>
        <v>983310719.82609081</v>
      </c>
      <c r="T65" s="466">
        <f>+[8]Hoja1!P20*('datos prec. compr.'!$BK16-SUM($O50:$U50))</f>
        <v>376074576.73751473</v>
      </c>
      <c r="U65" s="466">
        <f>+[8]Hoja1!Q20*('datos prec. compr.'!$BK16-SUM($O50:$U50))</f>
        <v>7311558003.2254372</v>
      </c>
      <c r="V65" s="455"/>
      <c r="W65" s="455">
        <f>+'datos prec. compr.'!CF16</f>
        <v>0</v>
      </c>
      <c r="X65" s="455"/>
      <c r="Y65" s="455"/>
      <c r="Z65" s="455"/>
      <c r="AA65" s="455"/>
      <c r="AB65" s="455">
        <f>+[7]C_5!$G$16*1000000*'datos prec. compr.'!CD16/'datos prec. compr.'!$CD$17</f>
        <v>0</v>
      </c>
      <c r="AC65" s="455">
        <f>+'oferta-demanda'!$M$70/'oferta-demanda'!$M$69*'datos prec. compr.'!CD16</f>
        <v>0</v>
      </c>
      <c r="AD65" s="455">
        <f>+'datos prec. compr.'!CE16</f>
        <v>828395520</v>
      </c>
      <c r="AE65" s="461">
        <f>+'datos prec. compr.'!AF16</f>
        <v>0</v>
      </c>
      <c r="AF65" s="461">
        <f>+'datos prec. compr.'!AG16</f>
        <v>13313738</v>
      </c>
      <c r="AG65" s="461">
        <f>+'datos prec. compr.'!AH16</f>
        <v>115920856</v>
      </c>
      <c r="AH65" s="461">
        <f>+'datos prec. compr.'!AI16</f>
        <v>46311296</v>
      </c>
      <c r="AI65" s="461">
        <f>+'datos prec. compr.'!AJ16</f>
        <v>6725258</v>
      </c>
      <c r="AJ65" s="461">
        <f>+'datos prec. compr.'!AK16</f>
        <v>109506144</v>
      </c>
      <c r="AK65" s="461">
        <f>+'datos prec. compr.'!AL16</f>
        <v>42756748</v>
      </c>
      <c r="AL65" s="461">
        <f>+'datos prec. compr.'!AM16</f>
        <v>88261856</v>
      </c>
      <c r="AM65" s="461">
        <f>+'datos prec. compr.'!AN16</f>
        <v>94846600</v>
      </c>
      <c r="AN65" s="461">
        <f>+'datos prec. compr.'!AO16</f>
        <v>529295360</v>
      </c>
      <c r="AO65" s="461">
        <f>+'datos prec. compr.'!AP16</f>
        <v>11602153</v>
      </c>
      <c r="AP65" s="461">
        <f>+'datos prec. compr.'!AQ16</f>
        <v>1094160</v>
      </c>
      <c r="AQ65" s="461">
        <f>+'datos prec. compr.'!AR16</f>
        <v>398848256</v>
      </c>
      <c r="AR65" s="461">
        <f>+'datos prec. compr.'!AS16</f>
        <v>516942432</v>
      </c>
      <c r="AS65" s="461">
        <f>+'datos prec. compr.'!AT16</f>
        <v>72554224</v>
      </c>
      <c r="AT65" s="458"/>
      <c r="AU65" s="458"/>
      <c r="AV65" s="458"/>
      <c r="AW65" s="458"/>
      <c r="AX65" s="458"/>
      <c r="AY65" s="458"/>
      <c r="AZ65" s="458"/>
      <c r="BA65" s="458"/>
      <c r="BB65" s="458"/>
      <c r="BC65" s="458"/>
      <c r="BD65" s="458"/>
      <c r="BE65" s="458"/>
      <c r="BF65" s="458"/>
      <c r="BG65" s="458"/>
      <c r="BH65" s="458"/>
      <c r="BI65" s="455"/>
      <c r="BJ65" s="455"/>
      <c r="BK65" s="455"/>
      <c r="BL65" s="455"/>
      <c r="BM65" s="455"/>
      <c r="BN65" s="455">
        <f>+'datos prec. compr.'!CC16</f>
        <v>0</v>
      </c>
      <c r="BO65" s="458"/>
      <c r="BP65" s="455">
        <f t="shared" si="2"/>
        <v>18720512222.475391</v>
      </c>
      <c r="BQ65" s="347">
        <v>18738738871.417255</v>
      </c>
      <c r="BR65" s="418">
        <f t="shared" si="3"/>
        <v>18226648.941864014</v>
      </c>
      <c r="BS65" s="644">
        <f>+SUM(BP51:BP65)</f>
        <v>486449986833.27393</v>
      </c>
      <c r="BT65" s="644"/>
      <c r="BU65" s="644"/>
      <c r="BV65" s="644"/>
      <c r="BW65" s="644"/>
      <c r="BX65" s="644"/>
    </row>
    <row r="66" spans="3:76" s="410" customFormat="1" ht="15" customHeight="1" x14ac:dyDescent="0.45">
      <c r="C66" s="801" t="s">
        <v>562</v>
      </c>
      <c r="D66" s="802"/>
      <c r="E66" s="802"/>
      <c r="F66" s="347" t="s">
        <v>563</v>
      </c>
      <c r="G66" s="767">
        <f t="shared" si="4"/>
        <v>54</v>
      </c>
      <c r="H66" s="458"/>
      <c r="I66" s="458"/>
      <c r="J66" s="458"/>
      <c r="K66" s="458"/>
      <c r="L66" s="458"/>
      <c r="M66" s="458"/>
      <c r="N66" s="458"/>
      <c r="O66" s="458"/>
      <c r="P66" s="458"/>
      <c r="Q66" s="458"/>
      <c r="R66" s="458"/>
      <c r="S66" s="458"/>
      <c r="T66" s="458"/>
      <c r="U66" s="458"/>
      <c r="V66" s="458"/>
      <c r="W66" s="458"/>
      <c r="X66" s="458"/>
      <c r="Y66" s="458"/>
      <c r="Z66" s="458"/>
      <c r="AA66" s="458"/>
      <c r="AB66" s="458"/>
      <c r="AC66" s="458"/>
      <c r="AD66" s="458"/>
      <c r="AE66" s="464"/>
      <c r="AF66" s="464"/>
      <c r="AG66" s="464"/>
      <c r="AH66" s="464"/>
      <c r="AI66" s="464"/>
      <c r="AJ66" s="464"/>
      <c r="AK66" s="464"/>
      <c r="AL66" s="464"/>
      <c r="AM66" s="464"/>
      <c r="AN66" s="464"/>
      <c r="AO66" s="464"/>
      <c r="AP66" s="464"/>
      <c r="AQ66" s="464"/>
      <c r="AR66" s="464"/>
      <c r="AS66" s="464"/>
      <c r="AT66" s="467">
        <f>+'datos prec. compr.'!BP29*'datos prec. compr.'!BP32</f>
        <v>11676512098.575211</v>
      </c>
      <c r="AU66" s="467">
        <f>+'datos prec. compr.'!BQ29*'datos prec. compr.'!BQ32</f>
        <v>3065587517.4083323</v>
      </c>
      <c r="AV66" s="467">
        <f>+'datos prec. compr.'!BR29*'datos prec. compr.'!BR32</f>
        <v>1947919530.2905095</v>
      </c>
      <c r="AW66" s="467">
        <f>+'datos prec. compr.'!BS29*'datos prec. compr.'!BS32</f>
        <v>6511025450.9964514</v>
      </c>
      <c r="AX66" s="467">
        <f>+'datos prec. compr.'!BT29*'datos prec. compr.'!BT32</f>
        <v>4561189407.4248409</v>
      </c>
      <c r="AY66" s="467">
        <f>+'datos prec. compr.'!BU29*'datos prec. compr.'!BU32</f>
        <v>7017355134.3311853</v>
      </c>
      <c r="AZ66" s="467">
        <f>+'datos prec. compr.'!BV29*'datos prec. compr.'!BV32</f>
        <v>2821485726.3325071</v>
      </c>
      <c r="BA66" s="467">
        <f>+'datos prec. compr.'!BW29*'datos prec. compr.'!BW32</f>
        <v>0</v>
      </c>
      <c r="BB66" s="467">
        <f>+'datos prec. compr.'!BX29*'datos prec. compr.'!BX32</f>
        <v>0</v>
      </c>
      <c r="BC66" s="467">
        <f>+'datos prec. compr.'!BY29*'datos prec. compr.'!BY32</f>
        <v>0</v>
      </c>
      <c r="BD66" s="467">
        <f>+'datos prec. compr.'!BZ29*'datos prec. compr.'!BZ32</f>
        <v>0</v>
      </c>
      <c r="BE66" s="467">
        <f>+'datos prec. compr.'!CA29*'datos prec. compr.'!CA32</f>
        <v>0</v>
      </c>
      <c r="BF66" s="467">
        <f>+'datos prec. compr.'!CB29*'datos prec. compr.'!CB32</f>
        <v>0</v>
      </c>
      <c r="BG66" s="467">
        <f>+'datos prec. compr.'!CC29*'datos prec. compr.'!CC32</f>
        <v>51433288</v>
      </c>
      <c r="BH66" s="467">
        <f>+'datos prec. compr.'!CD29*'datos prec. compr.'!CD32</f>
        <v>0</v>
      </c>
      <c r="BI66" s="455"/>
      <c r="BJ66" s="455"/>
      <c r="BK66" s="455"/>
      <c r="BL66" s="458"/>
      <c r="BM66" s="458"/>
      <c r="BN66" s="458"/>
      <c r="BO66" s="458"/>
      <c r="BP66" s="455">
        <f t="shared" si="2"/>
        <v>37652508153.359032</v>
      </c>
      <c r="BQ66" s="347">
        <v>37900999227.421432</v>
      </c>
      <c r="BR66" s="418">
        <f t="shared" si="3"/>
        <v>248491074.06240082</v>
      </c>
      <c r="BS66" s="644"/>
      <c r="BT66" s="644"/>
      <c r="BU66" s="644"/>
      <c r="BV66" s="644"/>
      <c r="BW66" s="644"/>
      <c r="BX66" s="644"/>
    </row>
    <row r="67" spans="3:76" s="410" customFormat="1" ht="15" customHeight="1" x14ac:dyDescent="0.45">
      <c r="C67" s="807"/>
      <c r="D67" s="808"/>
      <c r="E67" s="808"/>
      <c r="F67" s="347" t="s">
        <v>525</v>
      </c>
      <c r="G67" s="767">
        <f t="shared" si="4"/>
        <v>55</v>
      </c>
      <c r="H67" s="458"/>
      <c r="I67" s="458"/>
      <c r="J67" s="458"/>
      <c r="K67" s="458"/>
      <c r="L67" s="458"/>
      <c r="M67" s="458"/>
      <c r="N67" s="458"/>
      <c r="O67" s="458"/>
      <c r="P67" s="458"/>
      <c r="Q67" s="458"/>
      <c r="R67" s="458"/>
      <c r="S67" s="458"/>
      <c r="T67" s="458"/>
      <c r="U67" s="458"/>
      <c r="V67" s="458"/>
      <c r="W67" s="458"/>
      <c r="X67" s="458"/>
      <c r="Y67" s="458"/>
      <c r="Z67" s="458"/>
      <c r="AA67" s="458"/>
      <c r="AB67" s="458"/>
      <c r="AC67" s="458"/>
      <c r="AD67" s="458"/>
      <c r="AE67" s="464"/>
      <c r="AF67" s="464"/>
      <c r="AG67" s="464"/>
      <c r="AH67" s="464"/>
      <c r="AI67" s="464"/>
      <c r="AJ67" s="464"/>
      <c r="AK67" s="464"/>
      <c r="AL67" s="464"/>
      <c r="AM67" s="464"/>
      <c r="AN67" s="464"/>
      <c r="AO67" s="464"/>
      <c r="AP67" s="464"/>
      <c r="AQ67" s="464"/>
      <c r="AR67" s="464"/>
      <c r="AS67" s="464"/>
      <c r="AT67" s="467">
        <f>++'datos prec. compr.'!BP29*'datos prec. compr.'!BP31</f>
        <v>1807892637.4247899</v>
      </c>
      <c r="AU67" s="467">
        <f>++'datos prec. compr.'!BQ29*'datos prec. compr.'!BQ31</f>
        <v>58719938.591667771</v>
      </c>
      <c r="AV67" s="467">
        <f>++'datos prec. compr.'!BR29*'datos prec. compr.'!BR31</f>
        <v>361634133.70949054</v>
      </c>
      <c r="AW67" s="467">
        <f>++'datos prec. compr.'!BS29*'datos prec. compr.'!BS31</f>
        <v>629330133.00354898</v>
      </c>
      <c r="AX67" s="467">
        <f>++'datos prec. compr.'!BT29*'datos prec. compr.'!BT31</f>
        <v>551234528.57515895</v>
      </c>
      <c r="AY67" s="467">
        <f>++'datos prec. compr.'!BU29*'datos prec. compr.'!BU31</f>
        <v>4550337665.6688147</v>
      </c>
      <c r="AZ67" s="467">
        <f>++'datos prec. compr.'!BV29*'datos prec. compr.'!BV31</f>
        <v>1817352545.6674933</v>
      </c>
      <c r="BA67" s="467">
        <f>++'datos prec. compr.'!BW29*'datos prec. compr.'!BW31</f>
        <v>0</v>
      </c>
      <c r="BB67" s="467">
        <f>++'datos prec. compr.'!BX29*'datos prec. compr.'!BX31</f>
        <v>0</v>
      </c>
      <c r="BC67" s="467">
        <f>++'datos prec. compr.'!BY29*'datos prec. compr.'!BY31</f>
        <v>0</v>
      </c>
      <c r="BD67" s="467">
        <f>++'datos prec. compr.'!BZ29*'datos prec. compr.'!BZ31</f>
        <v>0</v>
      </c>
      <c r="BE67" s="467">
        <f>++'datos prec. compr.'!CA29*'datos prec. compr.'!CA31</f>
        <v>0</v>
      </c>
      <c r="BF67" s="467">
        <f>++'datos prec. compr.'!CB29*'datos prec. compr.'!CB31</f>
        <v>0</v>
      </c>
      <c r="BG67" s="467">
        <f>++'datos prec. compr.'!CC29*'datos prec. compr.'!CC31</f>
        <v>0</v>
      </c>
      <c r="BH67" s="467">
        <f>++'datos prec. compr.'!CD29*'datos prec. compr.'!CD31</f>
        <v>0</v>
      </c>
      <c r="BI67" s="455"/>
      <c r="BJ67" s="455"/>
      <c r="BK67" s="455"/>
      <c r="BL67" s="458"/>
      <c r="BM67" s="458"/>
      <c r="BN67" s="458"/>
      <c r="BO67" s="458"/>
      <c r="BP67" s="455">
        <f t="shared" si="2"/>
        <v>9776501582.6409645</v>
      </c>
      <c r="BQ67" s="347">
        <v>9609984072.5785694</v>
      </c>
      <c r="BR67" s="418">
        <f t="shared" si="3"/>
        <v>-166517510.0623951</v>
      </c>
      <c r="BS67" s="644"/>
      <c r="BT67" s="644"/>
      <c r="BU67" s="644"/>
      <c r="BV67" s="644"/>
      <c r="BW67" s="644"/>
      <c r="BX67" s="644"/>
    </row>
    <row r="68" spans="3:76" ht="15" customHeight="1" x14ac:dyDescent="0.45">
      <c r="C68" s="813" t="s">
        <v>464</v>
      </c>
      <c r="D68" s="814"/>
      <c r="E68" s="814"/>
      <c r="F68" s="823"/>
      <c r="G68" s="767">
        <f t="shared" si="4"/>
        <v>56</v>
      </c>
      <c r="H68" s="455"/>
      <c r="I68" s="455"/>
      <c r="J68" s="455"/>
      <c r="K68" s="455"/>
      <c r="L68" s="455"/>
      <c r="M68" s="455"/>
      <c r="N68" s="455"/>
      <c r="O68" s="455">
        <f>'impuestos hogares'!C16*'SAM macro'!$G$13</f>
        <v>1531347277.2973707</v>
      </c>
      <c r="P68" s="455">
        <f>'impuestos hogares'!D16*'SAM macro'!$G$13</f>
        <v>263332725.32745695</v>
      </c>
      <c r="Q68" s="455">
        <f>'impuestos hogares'!E16*'SAM macro'!$G$13</f>
        <v>1050255159.6963484</v>
      </c>
      <c r="R68" s="455">
        <f>'impuestos hogares'!F16*'SAM macro'!$G$13</f>
        <v>724707006.99355888</v>
      </c>
      <c r="S68" s="455">
        <f>'impuestos hogares'!G16*'SAM macro'!$G$13</f>
        <v>407315784.08023256</v>
      </c>
      <c r="T68" s="455">
        <f>'impuestos hogares'!H16*'SAM macro'!$G$13</f>
        <v>243327372.4879531</v>
      </c>
      <c r="U68" s="455">
        <f>'impuestos hogares'!I16*'SAM macro'!$G$13</f>
        <v>4805826265.337079</v>
      </c>
      <c r="V68" s="455">
        <f>+'SAM macro'!H13</f>
        <v>2166680348.3807607</v>
      </c>
      <c r="W68" s="455"/>
      <c r="X68" s="455"/>
      <c r="Y68" s="455"/>
      <c r="Z68" s="455"/>
      <c r="AA68" s="455"/>
      <c r="AB68" s="455"/>
      <c r="AC68" s="455"/>
      <c r="AD68" s="455"/>
      <c r="AE68" s="455"/>
      <c r="AF68" s="455"/>
      <c r="AG68" s="455"/>
      <c r="AH68" s="455"/>
      <c r="AI68" s="455"/>
      <c r="AJ68" s="455"/>
      <c r="AK68" s="455"/>
      <c r="AL68" s="455"/>
      <c r="AM68" s="455"/>
      <c r="AN68" s="455"/>
      <c r="AO68" s="455"/>
      <c r="AP68" s="455"/>
      <c r="AQ68" s="455"/>
      <c r="AR68" s="455"/>
      <c r="AS68" s="455"/>
      <c r="AT68" s="455"/>
      <c r="AU68" s="455"/>
      <c r="AV68" s="455"/>
      <c r="AW68" s="455"/>
      <c r="AX68" s="455"/>
      <c r="AY68" s="455"/>
      <c r="AZ68" s="455"/>
      <c r="BA68" s="455"/>
      <c r="BB68" s="455"/>
      <c r="BC68" s="455"/>
      <c r="BD68" s="455"/>
      <c r="BE68" s="455"/>
      <c r="BF68" s="455"/>
      <c r="BG68" s="455"/>
      <c r="BH68" s="455"/>
      <c r="BI68" s="464"/>
      <c r="BJ68" s="464"/>
      <c r="BK68" s="455"/>
      <c r="BL68" s="455"/>
      <c r="BM68" s="455"/>
      <c r="BN68" s="455"/>
      <c r="BO68" s="458"/>
      <c r="BP68" s="455">
        <f t="shared" si="2"/>
        <v>11192791939.60076</v>
      </c>
      <c r="BQ68" s="347">
        <v>11187721644.436806</v>
      </c>
      <c r="BR68" s="418">
        <f t="shared" si="3"/>
        <v>-5070295.1639537811</v>
      </c>
      <c r="BS68" s="644"/>
      <c r="BT68" s="644"/>
      <c r="BU68" s="644"/>
      <c r="BV68" s="644"/>
      <c r="BW68" s="644"/>
      <c r="BX68" s="644"/>
    </row>
    <row r="69" spans="3:76" ht="15" customHeight="1" x14ac:dyDescent="0.45">
      <c r="C69" s="813" t="s">
        <v>463</v>
      </c>
      <c r="D69" s="814"/>
      <c r="E69" s="814"/>
      <c r="F69" s="823"/>
      <c r="G69" s="767">
        <f t="shared" si="4"/>
        <v>57</v>
      </c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  <c r="AA69" s="455"/>
      <c r="AB69" s="455"/>
      <c r="AC69" s="455"/>
      <c r="AD69" s="455"/>
      <c r="AE69" s="455"/>
      <c r="AF69" s="455"/>
      <c r="AG69" s="455"/>
      <c r="AH69" s="455"/>
      <c r="AI69" s="455"/>
      <c r="AJ69" s="455"/>
      <c r="AK69" s="455"/>
      <c r="AL69" s="455"/>
      <c r="AM69" s="455"/>
      <c r="AN69" s="455"/>
      <c r="AO69" s="455"/>
      <c r="AP69" s="455"/>
      <c r="AQ69" s="455"/>
      <c r="AR69" s="455"/>
      <c r="AS69" s="455"/>
      <c r="AT69" s="455">
        <f>+'datos prec. compr.'!BP28</f>
        <v>359812864</v>
      </c>
      <c r="AU69" s="455">
        <f>+'datos prec. compr.'!BQ28</f>
        <v>28810292</v>
      </c>
      <c r="AV69" s="455">
        <f>+'datos prec. compr.'!BR28</f>
        <v>3632160512</v>
      </c>
      <c r="AW69" s="455">
        <f>+'datos prec. compr.'!BS28</f>
        <v>5144044544</v>
      </c>
      <c r="AX69" s="455">
        <f>+'datos prec. compr.'!BT28</f>
        <v>1038660096</v>
      </c>
      <c r="AY69" s="455">
        <f>+'datos prec. compr.'!BU28</f>
        <v>2069917440</v>
      </c>
      <c r="AZ69" s="455">
        <f>+'datos prec. compr.'!BV28</f>
        <v>1077880320</v>
      </c>
      <c r="BA69" s="455">
        <f>+'datos prec. compr.'!BW28</f>
        <v>1036756096</v>
      </c>
      <c r="BB69" s="455">
        <f>+'datos prec. compr.'!BX28</f>
        <v>0</v>
      </c>
      <c r="BC69" s="455">
        <f>+'datos prec. compr.'!BY28</f>
        <v>494993440</v>
      </c>
      <c r="BD69" s="455">
        <f>+'datos prec. compr.'!BZ28</f>
        <v>0</v>
      </c>
      <c r="BE69" s="455">
        <f>+'datos prec. compr.'!CA28</f>
        <v>95643960</v>
      </c>
      <c r="BF69" s="455">
        <f>+'datos prec. compr.'!CB28</f>
        <v>0</v>
      </c>
      <c r="BG69" s="455">
        <f>+'datos prec. compr.'!CC28</f>
        <v>1819376256</v>
      </c>
      <c r="BH69" s="455">
        <f>+'datos prec. compr.'!CD28</f>
        <v>410478816</v>
      </c>
      <c r="BI69" s="464"/>
      <c r="BJ69" s="464"/>
      <c r="BK69" s="455"/>
      <c r="BL69" s="455"/>
      <c r="BM69" s="455"/>
      <c r="BN69" s="455"/>
      <c r="BO69" s="458"/>
      <c r="BP69" s="455">
        <f t="shared" si="2"/>
        <v>17208534636</v>
      </c>
      <c r="BQ69" s="347">
        <v>15534783842</v>
      </c>
      <c r="BR69" s="418">
        <f t="shared" si="3"/>
        <v>-1673750794</v>
      </c>
      <c r="BS69" s="644"/>
      <c r="BT69" s="644"/>
      <c r="BU69" s="644"/>
      <c r="BV69" s="644"/>
      <c r="BW69" s="644"/>
      <c r="BX69" s="644"/>
    </row>
    <row r="70" spans="3:76" ht="14.25" customHeight="1" x14ac:dyDescent="0.45">
      <c r="C70" s="813" t="s">
        <v>527</v>
      </c>
      <c r="D70" s="814"/>
      <c r="E70" s="814"/>
      <c r="F70" s="823"/>
      <c r="G70" s="767">
        <f t="shared" si="4"/>
        <v>58</v>
      </c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  <c r="AA70" s="455"/>
      <c r="AB70" s="455"/>
      <c r="AC70" s="455"/>
      <c r="AD70" s="455"/>
      <c r="AE70" s="455"/>
      <c r="AF70" s="455"/>
      <c r="AG70" s="455"/>
      <c r="AH70" s="455"/>
      <c r="AI70" s="455"/>
      <c r="AJ70" s="455"/>
      <c r="AK70" s="455"/>
      <c r="AL70" s="455"/>
      <c r="AM70" s="455"/>
      <c r="AN70" s="455"/>
      <c r="AO70" s="455"/>
      <c r="AP70" s="455"/>
      <c r="AQ70" s="455"/>
      <c r="AR70" s="455"/>
      <c r="AS70" s="455"/>
      <c r="AT70" s="455">
        <f>++'datos prec. compr.'!BP27</f>
        <v>200529280</v>
      </c>
      <c r="AU70" s="455">
        <f>++'datos prec. compr.'!BQ27</f>
        <v>1217549</v>
      </c>
      <c r="AV70" s="455">
        <f>++'datos prec. compr.'!BR27</f>
        <v>158796320</v>
      </c>
      <c r="AW70" s="455">
        <f>++'datos prec. compr.'!BS27</f>
        <v>288904128</v>
      </c>
      <c r="AX70" s="455">
        <f>++'datos prec. compr.'!BT27</f>
        <v>133561288</v>
      </c>
      <c r="AY70" s="455">
        <f>++'datos prec. compr.'!BU27</f>
        <v>1520869120</v>
      </c>
      <c r="AZ70" s="455">
        <f>++'datos prec. compr.'!BV27</f>
        <v>437687552</v>
      </c>
      <c r="BA70" s="455">
        <f>++'datos prec. compr.'!BW27</f>
        <v>0</v>
      </c>
      <c r="BB70" s="455">
        <f>++'datos prec. compr.'!BX27</f>
        <v>0</v>
      </c>
      <c r="BC70" s="455">
        <f>++'datos prec. compr.'!BY27</f>
        <v>0</v>
      </c>
      <c r="BD70" s="455">
        <f>++'datos prec. compr.'!BZ27</f>
        <v>0</v>
      </c>
      <c r="BE70" s="455">
        <f>++'datos prec. compr.'!CA27</f>
        <v>0</v>
      </c>
      <c r="BF70" s="455">
        <f>++'datos prec. compr.'!CB27</f>
        <v>0</v>
      </c>
      <c r="BG70" s="455">
        <f>++'datos prec. compr.'!CC27</f>
        <v>2729016</v>
      </c>
      <c r="BH70" s="455">
        <f>++'datos prec. compr.'!CD27</f>
        <v>0</v>
      </c>
      <c r="BI70" s="458"/>
      <c r="BJ70" s="458"/>
      <c r="BK70" s="455"/>
      <c r="BL70" s="455"/>
      <c r="BM70" s="455"/>
      <c r="BN70" s="455"/>
      <c r="BO70" s="458"/>
      <c r="BP70" s="455">
        <f t="shared" si="2"/>
        <v>2744294253</v>
      </c>
      <c r="BQ70" s="347">
        <v>2743107162</v>
      </c>
      <c r="BR70" s="418">
        <f t="shared" si="3"/>
        <v>-1187091</v>
      </c>
      <c r="BS70" s="644"/>
      <c r="BT70" s="645"/>
      <c r="BU70" s="645"/>
      <c r="BV70" s="644"/>
      <c r="BW70" s="644"/>
      <c r="BX70" s="644"/>
    </row>
    <row r="71" spans="3:76" ht="60" customHeight="1" x14ac:dyDescent="0.45">
      <c r="C71" s="813" t="s">
        <v>580</v>
      </c>
      <c r="D71" s="814"/>
      <c r="E71" s="814"/>
      <c r="F71" s="823"/>
      <c r="G71" s="767">
        <f t="shared" si="4"/>
        <v>59</v>
      </c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  <c r="AA71" s="455"/>
      <c r="AB71" s="455"/>
      <c r="AC71" s="455"/>
      <c r="AD71" s="455"/>
      <c r="AE71" s="468"/>
      <c r="AF71" s="468"/>
      <c r="AG71" s="468"/>
      <c r="AH71" s="468"/>
      <c r="AI71" s="468"/>
      <c r="AJ71" s="468"/>
      <c r="AK71" s="468"/>
      <c r="AL71" s="468"/>
      <c r="AM71" s="468"/>
      <c r="AN71" s="468"/>
      <c r="AO71" s="468"/>
      <c r="AP71" s="468"/>
      <c r="AQ71" s="468"/>
      <c r="AR71" s="468"/>
      <c r="AS71" s="468"/>
      <c r="AT71" s="465">
        <f>+'datos prec. compr.'!BP26</f>
        <v>4147593984</v>
      </c>
      <c r="AU71" s="465">
        <f>+'datos prec. compr.'!BQ26</f>
        <v>132568664</v>
      </c>
      <c r="AV71" s="465">
        <f>+'datos prec. compr.'!BR26</f>
        <v>7798579200</v>
      </c>
      <c r="AW71" s="465">
        <f>+'datos prec. compr.'!BS26</f>
        <v>3095548416</v>
      </c>
      <c r="AX71" s="465">
        <f>+'datos prec. compr.'!BT26</f>
        <v>1843738240</v>
      </c>
      <c r="AY71" s="465">
        <f>+'datos prec. compr.'!BU26</f>
        <v>17178010624</v>
      </c>
      <c r="AZ71" s="465">
        <f>+'datos prec. compr.'!BV26</f>
        <v>9044814848</v>
      </c>
      <c r="BA71" s="465">
        <f>+'datos prec. compr.'!BW26</f>
        <v>0</v>
      </c>
      <c r="BB71" s="465">
        <f>+'datos prec. compr.'!BX26</f>
        <v>0</v>
      </c>
      <c r="BC71" s="465">
        <f>+'datos prec. compr.'!BY26</f>
        <v>0</v>
      </c>
      <c r="BD71" s="465">
        <f>+'datos prec. compr.'!BZ26</f>
        <v>0</v>
      </c>
      <c r="BE71" s="465">
        <f>+'datos prec. compr.'!CA26</f>
        <v>0</v>
      </c>
      <c r="BF71" s="465">
        <f>+'datos prec. compr.'!CB26</f>
        <v>0</v>
      </c>
      <c r="BG71" s="465">
        <f>+'datos prec. compr.'!CC26</f>
        <v>0</v>
      </c>
      <c r="BH71" s="465">
        <f>+'datos prec. compr.'!CD26</f>
        <v>0</v>
      </c>
      <c r="BI71" s="458"/>
      <c r="BJ71" s="458"/>
      <c r="BK71" s="455"/>
      <c r="BL71" s="455"/>
      <c r="BM71" s="455"/>
      <c r="BN71" s="455"/>
      <c r="BO71" s="458">
        <f>+'SAM macro'!V25</f>
        <v>94183204.603947639</v>
      </c>
      <c r="BP71" s="455">
        <f t="shared" si="2"/>
        <v>43335037180.603951</v>
      </c>
      <c r="BQ71" s="347">
        <v>42183764055.120499</v>
      </c>
      <c r="BR71" s="418">
        <f t="shared" si="3"/>
        <v>-1151273125.4834518</v>
      </c>
      <c r="BS71" s="644"/>
      <c r="BT71" s="644"/>
      <c r="BU71" s="644"/>
      <c r="BV71" s="644"/>
      <c r="BW71" s="644"/>
      <c r="BX71" s="644"/>
    </row>
    <row r="72" spans="3:76" ht="60" customHeight="1" x14ac:dyDescent="0.45">
      <c r="C72" s="813" t="s">
        <v>771</v>
      </c>
      <c r="D72" s="814"/>
      <c r="E72" s="814"/>
      <c r="F72" s="823"/>
      <c r="G72" s="767">
        <f t="shared" si="4"/>
        <v>60</v>
      </c>
      <c r="H72" s="717"/>
      <c r="I72" s="717"/>
      <c r="J72" s="717"/>
      <c r="K72" s="717"/>
      <c r="L72" s="717"/>
      <c r="M72" s="717"/>
      <c r="N72" s="458"/>
      <c r="O72" s="458"/>
      <c r="P72" s="458"/>
      <c r="Q72" s="458"/>
      <c r="R72" s="458"/>
      <c r="S72" s="458"/>
      <c r="T72" s="458"/>
      <c r="U72" s="458"/>
      <c r="V72" s="458"/>
      <c r="W72" s="458">
        <f>+'SAM macro'!L26</f>
        <v>3954533886.3211474</v>
      </c>
      <c r="X72" s="458"/>
      <c r="Y72" s="458"/>
      <c r="Z72" s="458"/>
      <c r="AA72" s="458"/>
      <c r="AB72" s="458"/>
      <c r="AC72" s="458"/>
      <c r="AD72" s="458"/>
      <c r="AE72" s="458"/>
      <c r="AF72" s="458"/>
      <c r="AG72" s="458"/>
      <c r="AH72" s="458"/>
      <c r="AI72" s="458"/>
      <c r="AJ72" s="458"/>
      <c r="AK72" s="458"/>
      <c r="AL72" s="458"/>
      <c r="AM72" s="458"/>
      <c r="AN72" s="458"/>
      <c r="AO72" s="458"/>
      <c r="AP72" s="458"/>
      <c r="AQ72" s="458"/>
      <c r="AR72" s="458"/>
      <c r="AS72" s="458"/>
      <c r="AT72" s="458"/>
      <c r="AU72" s="458"/>
      <c r="AV72" s="458"/>
      <c r="AW72" s="458"/>
      <c r="AX72" s="458"/>
      <c r="AY72" s="458"/>
      <c r="AZ72" s="458"/>
      <c r="BA72" s="458"/>
      <c r="BB72" s="458"/>
      <c r="BC72" s="458"/>
      <c r="BD72" s="458"/>
      <c r="BE72" s="458"/>
      <c r="BF72" s="458"/>
      <c r="BG72" s="458"/>
      <c r="BH72" s="458"/>
      <c r="BI72" s="458"/>
      <c r="BJ72" s="458"/>
      <c r="BK72" s="458"/>
      <c r="BL72" s="458"/>
      <c r="BM72" s="458"/>
      <c r="BN72" s="455"/>
      <c r="BO72" s="458"/>
      <c r="BP72" s="455">
        <f t="shared" si="2"/>
        <v>3954533886.3211474</v>
      </c>
      <c r="BQ72" s="418">
        <v>3956529255.7394586</v>
      </c>
      <c r="BR72" s="418"/>
      <c r="BS72" s="644"/>
      <c r="BT72" s="644"/>
      <c r="BU72" s="644"/>
      <c r="BV72" s="644"/>
      <c r="BW72" s="644"/>
      <c r="BX72" s="644"/>
    </row>
    <row r="73" spans="3:76" ht="18.5" x14ac:dyDescent="0.45">
      <c r="C73" s="813" t="s">
        <v>576</v>
      </c>
      <c r="D73" s="814"/>
      <c r="E73" s="814"/>
      <c r="F73" s="823"/>
      <c r="G73" s="767">
        <f t="shared" si="4"/>
        <v>61</v>
      </c>
      <c r="H73" s="417">
        <f t="shared" ref="H73:N73" si="5">+SUM(H13:H72)</f>
        <v>6089549719.7567492</v>
      </c>
      <c r="I73" s="417">
        <f t="shared" si="5"/>
        <v>9119989067.0722485</v>
      </c>
      <c r="J73" s="417">
        <f t="shared" si="5"/>
        <v>47369172947.804489</v>
      </c>
      <c r="K73" s="417">
        <f t="shared" si="5"/>
        <v>19161889252.732037</v>
      </c>
      <c r="L73" s="417">
        <f t="shared" si="5"/>
        <v>8019549301.8419447</v>
      </c>
      <c r="M73" s="417">
        <f t="shared" si="5"/>
        <v>3922251863.7625833</v>
      </c>
      <c r="N73" s="455">
        <f t="shared" si="5"/>
        <v>108810841188.67184</v>
      </c>
      <c r="O73" s="455">
        <f t="shared" ref="O73:BO73" si="6">+SUM(O13:O72)</f>
        <v>39272718632.437302</v>
      </c>
      <c r="P73" s="455">
        <f t="shared" si="6"/>
        <v>6682107705.8974438</v>
      </c>
      <c r="Q73" s="455">
        <f t="shared" si="6"/>
        <v>29642798175.93026</v>
      </c>
      <c r="R73" s="455">
        <f t="shared" si="6"/>
        <v>16881924170.673834</v>
      </c>
      <c r="S73" s="455">
        <f t="shared" si="6"/>
        <v>11443762497.071245</v>
      </c>
      <c r="T73" s="455">
        <f t="shared" si="6"/>
        <v>5763735270.9587193</v>
      </c>
      <c r="U73" s="455">
        <f t="shared" si="6"/>
        <v>114621760565.02649</v>
      </c>
      <c r="V73" s="455">
        <f t="shared" si="6"/>
        <v>111943228741.24649</v>
      </c>
      <c r="W73" s="455">
        <f t="shared" si="6"/>
        <v>40585967708.275291</v>
      </c>
      <c r="X73" s="455">
        <f t="shared" si="6"/>
        <v>6300178776</v>
      </c>
      <c r="Y73" s="455">
        <f t="shared" si="6"/>
        <v>2940109534</v>
      </c>
      <c r="Z73" s="455">
        <f t="shared" si="6"/>
        <v>1526358417</v>
      </c>
      <c r="AA73" s="455">
        <f t="shared" si="6"/>
        <v>10766646727</v>
      </c>
      <c r="AB73" s="455">
        <f t="shared" si="6"/>
        <v>6442591293.4041843</v>
      </c>
      <c r="AC73" s="455">
        <f t="shared" si="6"/>
        <v>37361836444.177658</v>
      </c>
      <c r="AD73" s="455">
        <f t="shared" si="6"/>
        <v>1539349504</v>
      </c>
      <c r="AE73" s="455">
        <f t="shared" si="6"/>
        <v>27268237788</v>
      </c>
      <c r="AF73" s="455">
        <f t="shared" si="6"/>
        <v>7270963634</v>
      </c>
      <c r="AG73" s="455">
        <f t="shared" si="6"/>
        <v>43831252050</v>
      </c>
      <c r="AH73" s="455">
        <f t="shared" si="6"/>
        <v>32631652588</v>
      </c>
      <c r="AI73" s="455">
        <f t="shared" si="6"/>
        <v>15498872889</v>
      </c>
      <c r="AJ73" s="455">
        <f t="shared" si="6"/>
        <v>26665666349</v>
      </c>
      <c r="AK73" s="455">
        <f t="shared" si="6"/>
        <v>14284676544</v>
      </c>
      <c r="AL73" s="455">
        <f t="shared" si="6"/>
        <v>23823465561</v>
      </c>
      <c r="AM73" s="455">
        <f t="shared" si="6"/>
        <v>46327781512</v>
      </c>
      <c r="AN73" s="455">
        <f t="shared" si="6"/>
        <v>34233947592</v>
      </c>
      <c r="AO73" s="455">
        <f t="shared" si="6"/>
        <v>6464616600</v>
      </c>
      <c r="AP73" s="455">
        <f t="shared" si="6"/>
        <v>10302957570</v>
      </c>
      <c r="AQ73" s="455">
        <f t="shared" si="6"/>
        <v>21116577384</v>
      </c>
      <c r="AR73" s="455">
        <f t="shared" si="6"/>
        <v>52727308147</v>
      </c>
      <c r="AS73" s="455">
        <f t="shared" si="6"/>
        <v>28111754623</v>
      </c>
      <c r="AT73" s="455">
        <f t="shared" si="6"/>
        <v>43808167989.036079</v>
      </c>
      <c r="AU73" s="455">
        <f t="shared" si="6"/>
        <v>9982110101.7860146</v>
      </c>
      <c r="AV73" s="455">
        <f t="shared" si="6"/>
        <v>55905648328</v>
      </c>
      <c r="AW73" s="455">
        <f t="shared" si="6"/>
        <v>44538773001.246201</v>
      </c>
      <c r="AX73" s="455">
        <f t="shared" si="6"/>
        <v>23348743013.956772</v>
      </c>
      <c r="AY73" s="455">
        <f t="shared" si="6"/>
        <v>58723227240.331039</v>
      </c>
      <c r="AZ73" s="455">
        <f t="shared" si="6"/>
        <v>29241524349</v>
      </c>
      <c r="BA73" s="455">
        <f t="shared" si="6"/>
        <v>26627834857</v>
      </c>
      <c r="BB73" s="455">
        <f t="shared" si="6"/>
        <v>47429008342</v>
      </c>
      <c r="BC73" s="455">
        <f t="shared" si="6"/>
        <v>34068860559.897434</v>
      </c>
      <c r="BD73" s="455">
        <f t="shared" si="6"/>
        <v>6446946165.0244055</v>
      </c>
      <c r="BE73" s="455">
        <f t="shared" si="6"/>
        <v>10457301744.938732</v>
      </c>
      <c r="BF73" s="455">
        <f t="shared" si="6"/>
        <v>20681877504</v>
      </c>
      <c r="BG73" s="455">
        <f t="shared" si="6"/>
        <v>56469446004</v>
      </c>
      <c r="BH73" s="455">
        <f t="shared" si="6"/>
        <v>18720512891.475395</v>
      </c>
      <c r="BI73" s="455">
        <f t="shared" si="6"/>
        <v>37652508153.359032</v>
      </c>
      <c r="BJ73" s="455">
        <f t="shared" si="6"/>
        <v>9776501582.6409645</v>
      </c>
      <c r="BK73" s="455">
        <f t="shared" si="6"/>
        <v>11192791939.60076</v>
      </c>
      <c r="BL73" s="455">
        <f t="shared" si="6"/>
        <v>17208534636</v>
      </c>
      <c r="BM73" s="455">
        <f t="shared" si="6"/>
        <v>2744294253</v>
      </c>
      <c r="BN73" s="455">
        <f t="shared" si="6"/>
        <v>43335037180.603958</v>
      </c>
      <c r="BO73" s="455">
        <f t="shared" si="6"/>
        <v>3954533886.3211474</v>
      </c>
      <c r="BP73" s="469">
        <f>+SUM(BP13:BP71)</f>
        <v>1645127698172.6375</v>
      </c>
      <c r="BQ73" s="419"/>
      <c r="BR73" s="419"/>
      <c r="BS73" s="644"/>
      <c r="BT73" s="644"/>
      <c r="BU73" s="644"/>
      <c r="BV73" s="644"/>
      <c r="BW73" s="644"/>
      <c r="BX73" s="644"/>
    </row>
    <row r="74" spans="3:76" x14ac:dyDescent="0.3">
      <c r="C74" s="418"/>
      <c r="D74" s="418"/>
      <c r="E74" s="418"/>
      <c r="F74" s="418"/>
      <c r="G74" s="768"/>
      <c r="H74" s="418"/>
      <c r="I74" s="418"/>
      <c r="J74" s="418"/>
      <c r="K74" s="418"/>
      <c r="L74" s="418"/>
      <c r="M74" s="418"/>
      <c r="N74" s="418"/>
      <c r="O74" s="418"/>
      <c r="P74" s="418"/>
      <c r="Q74" s="418"/>
      <c r="R74" s="418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18"/>
      <c r="AD74" s="418"/>
      <c r="AE74" s="418">
        <v>1</v>
      </c>
      <c r="AF74" s="418">
        <v>2</v>
      </c>
      <c r="AG74" s="418">
        <v>3</v>
      </c>
      <c r="AH74" s="418">
        <v>4</v>
      </c>
      <c r="AI74" s="418">
        <v>5</v>
      </c>
      <c r="AJ74" s="418">
        <v>6</v>
      </c>
      <c r="AK74" s="418">
        <v>7</v>
      </c>
      <c r="AL74" s="418">
        <v>8</v>
      </c>
      <c r="AM74" s="418">
        <v>9</v>
      </c>
      <c r="AN74" s="418">
        <v>10</v>
      </c>
      <c r="AO74" s="418">
        <v>11</v>
      </c>
      <c r="AP74" s="418">
        <v>12</v>
      </c>
      <c r="AQ74" s="418">
        <v>13</v>
      </c>
      <c r="AR74" s="418">
        <v>14</v>
      </c>
      <c r="AS74" s="418">
        <v>15</v>
      </c>
      <c r="AT74" s="418">
        <v>1</v>
      </c>
      <c r="AU74" s="418">
        <v>2</v>
      </c>
      <c r="AV74" s="418">
        <v>3</v>
      </c>
      <c r="AW74" s="418">
        <v>4</v>
      </c>
      <c r="AX74" s="418">
        <v>5</v>
      </c>
      <c r="AY74" s="418">
        <v>6</v>
      </c>
      <c r="AZ74" s="418">
        <v>7</v>
      </c>
      <c r="BA74" s="418">
        <v>8</v>
      </c>
      <c r="BB74" s="418">
        <v>9</v>
      </c>
      <c r="BC74" s="418">
        <v>10</v>
      </c>
      <c r="BD74" s="418">
        <v>11</v>
      </c>
      <c r="BE74" s="418">
        <v>12</v>
      </c>
      <c r="BF74" s="418">
        <v>13</v>
      </c>
      <c r="BG74" s="418">
        <v>14</v>
      </c>
      <c r="BH74" s="418">
        <v>15</v>
      </c>
      <c r="BI74" s="418"/>
      <c r="BJ74" s="418"/>
      <c r="BK74" s="418"/>
      <c r="BL74" s="418"/>
      <c r="BM74" s="418"/>
      <c r="BN74" s="418"/>
      <c r="BO74" s="418"/>
      <c r="BP74" s="419"/>
      <c r="BQ74" s="419"/>
      <c r="BR74" s="419"/>
      <c r="BS74" s="644"/>
      <c r="BT74" s="644"/>
      <c r="BU74" s="644"/>
      <c r="BV74" s="644"/>
      <c r="BW74" s="644"/>
      <c r="BX74" s="644"/>
    </row>
    <row r="75" spans="3:76" x14ac:dyDescent="0.3">
      <c r="D75" s="348"/>
      <c r="O75" s="408"/>
      <c r="P75" s="408"/>
      <c r="Q75" s="408"/>
      <c r="R75" s="408"/>
      <c r="S75" s="408"/>
      <c r="AD75" s="417">
        <f>+SUM(AE75:AS75)</f>
        <v>98476905109</v>
      </c>
      <c r="AE75" s="348">
        <v>10523520836.999998</v>
      </c>
      <c r="AF75" s="348">
        <v>3818874424.0000019</v>
      </c>
      <c r="AG75" s="348">
        <v>9921188423</v>
      </c>
      <c r="AH75" s="348">
        <v>7380718892.000001</v>
      </c>
      <c r="AI75" s="348">
        <v>4012322298</v>
      </c>
      <c r="AJ75" s="348">
        <v>1976912363.9999995</v>
      </c>
      <c r="AK75" s="348">
        <v>3308768620.000001</v>
      </c>
      <c r="AL75" s="348">
        <v>4513773211.000001</v>
      </c>
      <c r="AM75" s="348">
        <v>11369408082</v>
      </c>
      <c r="AN75" s="348">
        <v>1856387681.0000002</v>
      </c>
      <c r="AO75" s="348">
        <v>3447422073</v>
      </c>
      <c r="AP75" s="348">
        <v>2587221785</v>
      </c>
      <c r="AQ75" s="348">
        <v>2559650030.9999995</v>
      </c>
      <c r="AR75" s="348">
        <v>11492188909</v>
      </c>
      <c r="AS75" s="415">
        <v>19708547479</v>
      </c>
      <c r="AT75" s="348">
        <f>+SUM(AT73:BH73)</f>
        <v>486449982091.69214</v>
      </c>
      <c r="AU75" s="412">
        <f>+AT75-BH73+SUM(O36:U50)</f>
        <v>482461913487.52466</v>
      </c>
      <c r="AV75" s="415">
        <f>+AT75-AU75+SUM(O36:U50)</f>
        <v>18720512891.475403</v>
      </c>
      <c r="BP75" s="378">
        <f>+SUM(H73:BN73)-SUM(BP13:BP71)</f>
        <v>0</v>
      </c>
      <c r="BQ75" s="378"/>
      <c r="BR75" s="378"/>
      <c r="BS75" s="644"/>
      <c r="BT75" s="644"/>
      <c r="BU75" s="644"/>
      <c r="BV75" s="644"/>
      <c r="BW75" s="644"/>
      <c r="BX75" s="644"/>
    </row>
    <row r="76" spans="3:76" x14ac:dyDescent="0.3">
      <c r="C76" s="408"/>
      <c r="D76" s="348"/>
      <c r="AD76" s="417">
        <f>+SUM(AE76:AS76)</f>
        <v>98476905109</v>
      </c>
      <c r="AE76" s="348">
        <v>10523520836.999998</v>
      </c>
      <c r="AF76" s="348">
        <v>3818874424.0000019</v>
      </c>
      <c r="AG76" s="348">
        <v>9921188423</v>
      </c>
      <c r="AH76" s="348">
        <v>7380718892.000001</v>
      </c>
      <c r="AI76" s="348">
        <v>4012322298</v>
      </c>
      <c r="AJ76" s="348">
        <v>1976912363.9999995</v>
      </c>
      <c r="AK76" s="348">
        <v>3308768620.000001</v>
      </c>
      <c r="AL76" s="348">
        <v>4513773211.000001</v>
      </c>
      <c r="AM76" s="348">
        <v>11369408082</v>
      </c>
      <c r="AN76" s="348">
        <v>1856387681.0000002</v>
      </c>
      <c r="AO76" s="348">
        <v>3447422073</v>
      </c>
      <c r="AP76" s="348">
        <v>2587221785</v>
      </c>
      <c r="AQ76" s="348">
        <v>2559650030.9999995</v>
      </c>
      <c r="AR76" s="348">
        <v>11492188909</v>
      </c>
      <c r="AS76" s="415">
        <v>19708547479</v>
      </c>
      <c r="AT76" s="348">
        <f>+AT73+O36+T36+U36</f>
        <v>44239921239.848892</v>
      </c>
      <c r="BS76" s="644"/>
      <c r="BT76" s="644"/>
      <c r="BU76" s="644"/>
      <c r="BV76" s="644"/>
      <c r="BW76" s="644"/>
      <c r="BX76" s="644"/>
    </row>
    <row r="77" spans="3:76" x14ac:dyDescent="0.3">
      <c r="C77" s="409" t="s">
        <v>566</v>
      </c>
      <c r="D77" s="408"/>
      <c r="E77" s="408"/>
      <c r="F77" s="408"/>
      <c r="G77" s="769"/>
      <c r="H77" s="408"/>
      <c r="I77" s="408"/>
      <c r="J77" s="408"/>
      <c r="K77" s="408"/>
      <c r="L77" s="408"/>
      <c r="M77" s="408"/>
      <c r="N77" s="408"/>
      <c r="O77" s="408"/>
      <c r="P77" s="408"/>
      <c r="Q77" s="408"/>
      <c r="R77" s="408"/>
      <c r="S77" s="408"/>
      <c r="T77" s="408"/>
      <c r="U77" s="408"/>
      <c r="AD77" s="415">
        <f>+SUM(AE73:AS73)</f>
        <v>390559730831</v>
      </c>
      <c r="AT77" s="415">
        <f>+SUM(AT73:BH73)+SUM(O36:U50)</f>
        <v>501182426379.00006</v>
      </c>
      <c r="BS77" s="644"/>
      <c r="BT77" s="644"/>
      <c r="BU77" s="644"/>
      <c r="BV77" s="644"/>
      <c r="BW77" s="644"/>
      <c r="BX77" s="644"/>
    </row>
    <row r="78" spans="3:76" ht="30" customHeight="1" x14ac:dyDescent="0.3">
      <c r="C78" s="831" t="s">
        <v>569</v>
      </c>
      <c r="D78" s="831"/>
      <c r="E78" s="831"/>
      <c r="F78" s="831"/>
      <c r="G78" s="831"/>
      <c r="H78" s="831"/>
      <c r="I78" s="429"/>
      <c r="J78" s="429"/>
      <c r="K78" s="429"/>
      <c r="L78" s="429"/>
      <c r="M78" s="429"/>
      <c r="AD78" s="417"/>
      <c r="AT78" s="348">
        <v>187741117773</v>
      </c>
      <c r="BS78" s="644"/>
      <c r="BT78" s="644"/>
      <c r="BU78" s="644"/>
      <c r="BV78" s="644"/>
      <c r="BW78" s="644"/>
      <c r="BX78" s="644"/>
    </row>
    <row r="79" spans="3:76" ht="47.25" customHeight="1" x14ac:dyDescent="0.3">
      <c r="C79" s="831" t="s">
        <v>567</v>
      </c>
      <c r="D79" s="831"/>
      <c r="E79" s="831"/>
      <c r="F79" s="831"/>
      <c r="G79" s="831"/>
      <c r="H79" s="831"/>
      <c r="I79" s="429"/>
      <c r="J79" s="429"/>
      <c r="K79" s="429"/>
      <c r="L79" s="429"/>
      <c r="M79" s="429"/>
      <c r="AT79" s="413">
        <f t="shared" ref="AT79:BH79" si="7">+AT66+AT67</f>
        <v>13484404736</v>
      </c>
      <c r="AU79" s="413">
        <f t="shared" si="7"/>
        <v>3124307456</v>
      </c>
      <c r="AV79" s="413">
        <f t="shared" si="7"/>
        <v>2309553664</v>
      </c>
      <c r="AW79" s="413">
        <f t="shared" si="7"/>
        <v>7140355584</v>
      </c>
      <c r="AX79" s="413">
        <f t="shared" si="7"/>
        <v>5112423936</v>
      </c>
      <c r="AY79" s="413">
        <f t="shared" si="7"/>
        <v>11567692800</v>
      </c>
      <c r="AZ79" s="413">
        <f t="shared" si="7"/>
        <v>4638838272</v>
      </c>
      <c r="BA79" s="413">
        <f t="shared" si="7"/>
        <v>0</v>
      </c>
      <c r="BB79" s="413">
        <f t="shared" si="7"/>
        <v>0</v>
      </c>
      <c r="BC79" s="413">
        <f t="shared" si="7"/>
        <v>0</v>
      </c>
      <c r="BD79" s="413">
        <f t="shared" si="7"/>
        <v>0</v>
      </c>
      <c r="BE79" s="413">
        <f t="shared" si="7"/>
        <v>0</v>
      </c>
      <c r="BF79" s="413">
        <f t="shared" si="7"/>
        <v>0</v>
      </c>
      <c r="BG79" s="413">
        <f t="shared" si="7"/>
        <v>51433288</v>
      </c>
      <c r="BH79" s="413">
        <f t="shared" si="7"/>
        <v>0</v>
      </c>
      <c r="BI79" s="348"/>
      <c r="BK79" s="410"/>
      <c r="BS79" s="644"/>
      <c r="BT79" s="644"/>
      <c r="BU79" s="644"/>
      <c r="BV79" s="644"/>
      <c r="BW79" s="644"/>
      <c r="BX79" s="644"/>
    </row>
    <row r="80" spans="3:76" ht="54" customHeight="1" x14ac:dyDescent="0.3">
      <c r="C80" s="831" t="s">
        <v>51</v>
      </c>
      <c r="D80" s="831"/>
      <c r="E80" s="831"/>
      <c r="F80" s="831"/>
      <c r="G80" s="831"/>
      <c r="H80" s="831"/>
      <c r="I80" s="429"/>
      <c r="J80" s="429"/>
      <c r="K80" s="429"/>
      <c r="L80" s="429"/>
      <c r="M80" s="429"/>
      <c r="BS80" s="644"/>
      <c r="BT80" s="644"/>
      <c r="BU80" s="644"/>
      <c r="BV80" s="644"/>
      <c r="BW80" s="644"/>
      <c r="BX80" s="644"/>
    </row>
    <row r="81" spans="3:105" ht="100.5" customHeight="1" x14ac:dyDescent="0.3">
      <c r="C81" s="831" t="s">
        <v>49</v>
      </c>
      <c r="D81" s="831"/>
      <c r="E81" s="831"/>
      <c r="F81" s="831"/>
      <c r="G81" s="831"/>
      <c r="H81" s="831"/>
      <c r="I81" s="429"/>
      <c r="J81" s="429"/>
      <c r="K81" s="429"/>
      <c r="L81" s="429"/>
      <c r="M81" s="429"/>
    </row>
    <row r="82" spans="3:105" ht="48" customHeight="1" x14ac:dyDescent="0.3">
      <c r="C82" s="831" t="s">
        <v>568</v>
      </c>
      <c r="D82" s="831"/>
      <c r="E82" s="831"/>
      <c r="F82" s="831"/>
      <c r="G82" s="831"/>
      <c r="H82" s="831"/>
      <c r="I82" s="429"/>
      <c r="J82" s="429"/>
      <c r="K82" s="429"/>
      <c r="L82" s="429"/>
      <c r="M82" s="429"/>
    </row>
    <row r="83" spans="3:105" ht="34.5" customHeight="1" x14ac:dyDescent="0.3">
      <c r="C83" s="835" t="s">
        <v>88</v>
      </c>
      <c r="D83" s="835"/>
      <c r="E83" s="835"/>
      <c r="F83" s="835"/>
      <c r="G83" s="835"/>
      <c r="H83" s="835"/>
      <c r="I83" s="430"/>
      <c r="J83" s="430"/>
      <c r="K83" s="430"/>
      <c r="L83" s="430"/>
      <c r="M83" s="430"/>
    </row>
    <row r="84" spans="3:105" ht="69" customHeight="1" x14ac:dyDescent="0.3">
      <c r="C84" s="831" t="s">
        <v>50</v>
      </c>
      <c r="D84" s="831"/>
      <c r="E84" s="831"/>
      <c r="F84" s="831"/>
      <c r="G84" s="831"/>
      <c r="H84" s="831"/>
      <c r="I84" s="429"/>
      <c r="J84" s="429"/>
      <c r="K84" s="429"/>
      <c r="L84" s="429"/>
      <c r="M84" s="429"/>
      <c r="BY84" s="410"/>
      <c r="BZ84" s="410"/>
      <c r="CA84" s="410"/>
      <c r="CB84" s="410"/>
      <c r="CC84" s="410"/>
      <c r="CD84" s="410"/>
      <c r="CE84" s="410"/>
      <c r="CF84" s="410"/>
      <c r="CG84" s="410"/>
      <c r="CH84" s="410"/>
      <c r="CI84" s="410"/>
      <c r="CJ84" s="410"/>
      <c r="CK84" s="410"/>
      <c r="CL84" s="410"/>
      <c r="CM84" s="410"/>
      <c r="CN84" s="410"/>
      <c r="CO84" s="410"/>
      <c r="CP84" s="410"/>
      <c r="CQ84" s="410"/>
      <c r="CR84" s="410"/>
      <c r="CS84" s="410"/>
      <c r="CT84" s="410"/>
      <c r="CU84" s="410"/>
      <c r="CV84" s="410"/>
      <c r="CW84" s="410"/>
      <c r="CX84" s="410"/>
    </row>
    <row r="85" spans="3:105" ht="67.5" customHeight="1" x14ac:dyDescent="0.3">
      <c r="D85" s="348"/>
      <c r="H85" s="417">
        <f>+BP13</f>
        <v>6089549719.7567492</v>
      </c>
      <c r="I85" s="417">
        <f>+BP14</f>
        <v>9119989067.0722485</v>
      </c>
      <c r="J85" s="417">
        <f>+BP15</f>
        <v>47369172947.804482</v>
      </c>
      <c r="K85" s="417">
        <f>+BP16</f>
        <v>19161889252.732037</v>
      </c>
      <c r="L85" s="417">
        <f>+BP17</f>
        <v>8019549301.8419447</v>
      </c>
      <c r="M85" s="417">
        <f>+BP18</f>
        <v>3922251863.7625837</v>
      </c>
      <c r="AT85" s="644"/>
      <c r="AU85" s="644"/>
    </row>
    <row r="86" spans="3:105" s="410" customFormat="1" ht="48" customHeight="1" x14ac:dyDescent="0.3">
      <c r="C86" s="830"/>
      <c r="D86" s="830"/>
      <c r="E86" s="830"/>
      <c r="F86" s="830"/>
      <c r="G86" s="770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  <c r="Z86" s="348"/>
      <c r="AA86" s="348"/>
      <c r="AB86" s="348"/>
      <c r="AC86" s="348"/>
      <c r="AD86" s="348"/>
      <c r="AE86" s="348"/>
      <c r="AF86" s="348"/>
      <c r="AG86" s="348"/>
      <c r="AH86" s="348"/>
      <c r="AI86" s="348"/>
      <c r="AJ86" s="348"/>
      <c r="AK86" s="348"/>
      <c r="AL86" s="348"/>
      <c r="AM86" s="348"/>
      <c r="AN86" s="348"/>
      <c r="AO86" s="348"/>
      <c r="AP86" s="348"/>
      <c r="AQ86" s="348"/>
      <c r="AR86" s="348"/>
      <c r="AS86" s="348"/>
      <c r="AT86" s="646"/>
      <c r="AU86" s="647"/>
      <c r="AV86" s="348"/>
      <c r="AW86" s="348"/>
      <c r="AX86" s="348"/>
      <c r="AY86" s="348"/>
      <c r="AZ86" s="348"/>
      <c r="BA86" s="348"/>
      <c r="BB86" s="348"/>
      <c r="BC86" s="348"/>
      <c r="BD86" s="348"/>
      <c r="BE86" s="348"/>
      <c r="BF86" s="348"/>
      <c r="BG86" s="348"/>
      <c r="BH86" s="348"/>
      <c r="BI86" s="348"/>
      <c r="BJ86" s="348"/>
      <c r="BK86" s="348"/>
      <c r="BN86" s="348"/>
      <c r="BO86" s="348"/>
      <c r="BP86" s="348"/>
      <c r="BQ86" s="348"/>
      <c r="BR86" s="348"/>
      <c r="CA86" s="348"/>
      <c r="CB86" s="348"/>
      <c r="CC86" s="348"/>
      <c r="CD86" s="348"/>
      <c r="CE86" s="348"/>
      <c r="CF86" s="348"/>
      <c r="CG86" s="348"/>
      <c r="CH86" s="348"/>
      <c r="CI86" s="348"/>
      <c r="CJ86" s="348"/>
      <c r="CK86" s="348"/>
      <c r="CL86" s="348"/>
      <c r="CM86" s="348"/>
      <c r="CN86" s="348"/>
      <c r="CO86" s="348"/>
      <c r="CP86" s="348"/>
      <c r="CQ86" s="348"/>
      <c r="CR86" s="348"/>
      <c r="CS86" s="348"/>
      <c r="CT86" s="348"/>
      <c r="CU86" s="348"/>
      <c r="CV86" s="348"/>
      <c r="CW86" s="348"/>
      <c r="CX86" s="348"/>
      <c r="CY86" s="348"/>
      <c r="CZ86" s="348"/>
      <c r="DA86" s="348"/>
    </row>
    <row r="87" spans="3:105" s="410" customFormat="1" ht="82.5" customHeight="1" x14ac:dyDescent="0.3">
      <c r="C87" s="348"/>
      <c r="D87" s="348"/>
      <c r="E87" s="348"/>
      <c r="F87" s="348"/>
      <c r="G87" s="399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348"/>
      <c r="AB87" s="348"/>
      <c r="AC87" s="348"/>
      <c r="AD87" s="348"/>
      <c r="AE87" s="348"/>
      <c r="AF87" s="348"/>
      <c r="AG87" s="348"/>
      <c r="AH87" s="348"/>
      <c r="AI87" s="348"/>
      <c r="AJ87" s="348"/>
      <c r="AK87" s="348"/>
      <c r="AL87" s="348"/>
      <c r="AM87" s="348"/>
      <c r="AN87" s="348"/>
      <c r="AO87" s="348"/>
      <c r="AP87" s="348"/>
      <c r="AQ87" s="348"/>
      <c r="AR87" s="348"/>
      <c r="AS87" s="348"/>
      <c r="AT87" s="644"/>
      <c r="AU87" s="644"/>
      <c r="AV87" s="348"/>
      <c r="AW87" s="348"/>
      <c r="AX87" s="348"/>
      <c r="AY87" s="348"/>
      <c r="AZ87" s="348"/>
      <c r="BA87" s="348"/>
      <c r="BB87" s="348"/>
      <c r="BC87" s="348"/>
      <c r="BD87" s="348"/>
      <c r="BE87" s="348"/>
      <c r="BF87" s="348"/>
      <c r="BG87" s="348"/>
      <c r="BH87" s="348"/>
      <c r="BK87" s="348"/>
      <c r="BL87" s="348"/>
      <c r="BM87" s="348"/>
      <c r="BN87" s="348"/>
      <c r="BO87" s="348"/>
      <c r="BY87" s="348"/>
      <c r="BZ87" s="348"/>
      <c r="CA87" s="348"/>
      <c r="CB87" s="348"/>
      <c r="CC87" s="348"/>
      <c r="CD87" s="348"/>
      <c r="CE87" s="348"/>
      <c r="CF87" s="348"/>
      <c r="CG87" s="348"/>
      <c r="CH87" s="348"/>
      <c r="CI87" s="348"/>
      <c r="CJ87" s="348"/>
      <c r="CK87" s="348"/>
      <c r="CL87" s="348"/>
      <c r="CM87" s="348"/>
      <c r="CN87" s="348"/>
      <c r="CO87" s="348"/>
      <c r="CP87" s="348"/>
      <c r="CQ87" s="348"/>
      <c r="CR87" s="348"/>
      <c r="CS87" s="348"/>
      <c r="CT87" s="348"/>
      <c r="CU87" s="348"/>
      <c r="CV87" s="348"/>
      <c r="CW87" s="348"/>
      <c r="CX87" s="348"/>
    </row>
    <row r="88" spans="3:105" ht="93.75" customHeight="1" x14ac:dyDescent="0.3">
      <c r="D88" s="348"/>
    </row>
    <row r="89" spans="3:105" ht="51.75" customHeight="1" x14ac:dyDescent="0.3">
      <c r="D89" s="348"/>
    </row>
    <row r="90" spans="3:105" ht="51.75" customHeight="1" x14ac:dyDescent="0.3">
      <c r="D90" s="348"/>
    </row>
    <row r="91" spans="3:105" ht="93.75" customHeight="1" x14ac:dyDescent="0.3">
      <c r="D91" s="348"/>
    </row>
    <row r="92" spans="3:105" ht="49.5" customHeight="1" x14ac:dyDescent="0.3">
      <c r="D92" s="348"/>
    </row>
    <row r="93" spans="3:105" ht="46.5" customHeight="1" x14ac:dyDescent="0.3">
      <c r="D93" s="348"/>
    </row>
    <row r="94" spans="3:105" x14ac:dyDescent="0.3">
      <c r="D94" s="348"/>
    </row>
    <row r="95" spans="3:105" x14ac:dyDescent="0.3">
      <c r="D95" s="348"/>
    </row>
    <row r="96" spans="3:105" x14ac:dyDescent="0.3">
      <c r="D96" s="348"/>
    </row>
    <row r="97" spans="4:4" x14ac:dyDescent="0.3">
      <c r="D97" s="348"/>
    </row>
    <row r="98" spans="4:4" x14ac:dyDescent="0.3">
      <c r="D98" s="348"/>
    </row>
    <row r="99" spans="4:4" x14ac:dyDescent="0.3">
      <c r="D99" s="348"/>
    </row>
    <row r="100" spans="4:4" x14ac:dyDescent="0.3">
      <c r="D100" s="348"/>
    </row>
    <row r="101" spans="4:4" x14ac:dyDescent="0.3">
      <c r="D101" s="348"/>
    </row>
    <row r="102" spans="4:4" x14ac:dyDescent="0.3">
      <c r="D102" s="348"/>
    </row>
    <row r="103" spans="4:4" x14ac:dyDescent="0.3">
      <c r="D103" s="348"/>
    </row>
    <row r="104" spans="4:4" x14ac:dyDescent="0.3">
      <c r="D104" s="348"/>
    </row>
    <row r="105" spans="4:4" x14ac:dyDescent="0.3">
      <c r="D105" s="348"/>
    </row>
    <row r="106" spans="4:4" x14ac:dyDescent="0.3">
      <c r="D106" s="348"/>
    </row>
    <row r="107" spans="4:4" x14ac:dyDescent="0.3">
      <c r="D107" s="348"/>
    </row>
    <row r="108" spans="4:4" x14ac:dyDescent="0.3">
      <c r="D108" s="348"/>
    </row>
    <row r="109" spans="4:4" x14ac:dyDescent="0.3">
      <c r="D109" s="348"/>
    </row>
    <row r="110" spans="4:4" x14ac:dyDescent="0.3">
      <c r="D110" s="348"/>
    </row>
    <row r="111" spans="4:4" x14ac:dyDescent="0.3">
      <c r="D111" s="348"/>
    </row>
    <row r="112" spans="4:4" x14ac:dyDescent="0.3">
      <c r="D112" s="348"/>
    </row>
    <row r="113" spans="4:4" x14ac:dyDescent="0.3">
      <c r="D113" s="348"/>
    </row>
    <row r="114" spans="4:4" x14ac:dyDescent="0.3">
      <c r="D114" s="348"/>
    </row>
    <row r="115" spans="4:4" x14ac:dyDescent="0.3">
      <c r="D115" s="348"/>
    </row>
    <row r="116" spans="4:4" x14ac:dyDescent="0.3">
      <c r="D116" s="348"/>
    </row>
    <row r="117" spans="4:4" x14ac:dyDescent="0.3">
      <c r="D117" s="348"/>
    </row>
    <row r="118" spans="4:4" x14ac:dyDescent="0.3">
      <c r="D118" s="348"/>
    </row>
    <row r="119" spans="4:4" x14ac:dyDescent="0.3">
      <c r="D119" s="348"/>
    </row>
    <row r="120" spans="4:4" x14ac:dyDescent="0.3">
      <c r="D120" s="348"/>
    </row>
    <row r="121" spans="4:4" x14ac:dyDescent="0.3">
      <c r="D121" s="348"/>
    </row>
    <row r="122" spans="4:4" x14ac:dyDescent="0.3">
      <c r="D122" s="348"/>
    </row>
    <row r="123" spans="4:4" x14ac:dyDescent="0.3">
      <c r="D123" s="348"/>
    </row>
    <row r="124" spans="4:4" x14ac:dyDescent="0.3">
      <c r="D124" s="348"/>
    </row>
    <row r="125" spans="4:4" x14ac:dyDescent="0.3">
      <c r="D125" s="348"/>
    </row>
    <row r="126" spans="4:4" x14ac:dyDescent="0.3">
      <c r="D126" s="348"/>
    </row>
    <row r="127" spans="4:4" x14ac:dyDescent="0.3">
      <c r="D127" s="348"/>
    </row>
    <row r="128" spans="4:4" x14ac:dyDescent="0.3">
      <c r="D128" s="348"/>
    </row>
    <row r="129" spans="4:4" x14ac:dyDescent="0.3">
      <c r="D129" s="348"/>
    </row>
    <row r="130" spans="4:4" x14ac:dyDescent="0.3">
      <c r="D130" s="348"/>
    </row>
    <row r="131" spans="4:4" x14ac:dyDescent="0.3">
      <c r="D131" s="348"/>
    </row>
    <row r="132" spans="4:4" x14ac:dyDescent="0.3">
      <c r="D132" s="348"/>
    </row>
    <row r="133" spans="4:4" x14ac:dyDescent="0.3">
      <c r="D133" s="348"/>
    </row>
    <row r="134" spans="4:4" x14ac:dyDescent="0.3">
      <c r="D134" s="348"/>
    </row>
    <row r="135" spans="4:4" x14ac:dyDescent="0.3">
      <c r="D135" s="348"/>
    </row>
    <row r="136" spans="4:4" x14ac:dyDescent="0.3">
      <c r="D136" s="348"/>
    </row>
    <row r="137" spans="4:4" x14ac:dyDescent="0.3">
      <c r="D137" s="348"/>
    </row>
    <row r="138" spans="4:4" x14ac:dyDescent="0.3">
      <c r="D138" s="348"/>
    </row>
    <row r="139" spans="4:4" x14ac:dyDescent="0.3">
      <c r="D139" s="348"/>
    </row>
    <row r="140" spans="4:4" x14ac:dyDescent="0.3">
      <c r="D140" s="348"/>
    </row>
    <row r="141" spans="4:4" x14ac:dyDescent="0.3">
      <c r="D141" s="348"/>
    </row>
    <row r="142" spans="4:4" x14ac:dyDescent="0.3">
      <c r="D142" s="348"/>
    </row>
    <row r="143" spans="4:4" x14ac:dyDescent="0.3">
      <c r="D143" s="348"/>
    </row>
    <row r="144" spans="4:4" x14ac:dyDescent="0.3">
      <c r="D144" s="348"/>
    </row>
    <row r="145" spans="4:4" x14ac:dyDescent="0.3">
      <c r="D145" s="348"/>
    </row>
    <row r="146" spans="4:4" x14ac:dyDescent="0.3">
      <c r="D146" s="348"/>
    </row>
    <row r="147" spans="4:4" x14ac:dyDescent="0.3">
      <c r="D147" s="348"/>
    </row>
    <row r="148" spans="4:4" x14ac:dyDescent="0.3">
      <c r="D148" s="348"/>
    </row>
    <row r="149" spans="4:4" x14ac:dyDescent="0.3">
      <c r="D149" s="348"/>
    </row>
    <row r="150" spans="4:4" x14ac:dyDescent="0.3">
      <c r="D150" s="348"/>
    </row>
    <row r="151" spans="4:4" x14ac:dyDescent="0.3">
      <c r="D151" s="348"/>
    </row>
    <row r="152" spans="4:4" x14ac:dyDescent="0.3">
      <c r="D152" s="348"/>
    </row>
    <row r="153" spans="4:4" x14ac:dyDescent="0.3">
      <c r="D153" s="348"/>
    </row>
    <row r="154" spans="4:4" x14ac:dyDescent="0.3">
      <c r="D154" s="348"/>
    </row>
    <row r="155" spans="4:4" x14ac:dyDescent="0.3">
      <c r="D155" s="348"/>
    </row>
    <row r="156" spans="4:4" x14ac:dyDescent="0.3">
      <c r="D156" s="348"/>
    </row>
    <row r="157" spans="4:4" x14ac:dyDescent="0.3">
      <c r="D157" s="348"/>
    </row>
    <row r="158" spans="4:4" x14ac:dyDescent="0.3">
      <c r="D158" s="348"/>
    </row>
    <row r="159" spans="4:4" x14ac:dyDescent="0.3">
      <c r="D159" s="348"/>
    </row>
    <row r="160" spans="4:4" x14ac:dyDescent="0.3">
      <c r="D160" s="348"/>
    </row>
    <row r="161" spans="4:4" x14ac:dyDescent="0.3">
      <c r="D161" s="348"/>
    </row>
    <row r="162" spans="4:4" x14ac:dyDescent="0.3">
      <c r="D162" s="348"/>
    </row>
    <row r="163" spans="4:4" x14ac:dyDescent="0.3">
      <c r="D163" s="348"/>
    </row>
    <row r="164" spans="4:4" x14ac:dyDescent="0.3">
      <c r="D164" s="348"/>
    </row>
    <row r="165" spans="4:4" x14ac:dyDescent="0.3">
      <c r="D165" s="348"/>
    </row>
    <row r="166" spans="4:4" x14ac:dyDescent="0.3">
      <c r="D166" s="348"/>
    </row>
    <row r="167" spans="4:4" x14ac:dyDescent="0.3">
      <c r="D167" s="348"/>
    </row>
    <row r="168" spans="4:4" x14ac:dyDescent="0.3">
      <c r="D168" s="348"/>
    </row>
    <row r="169" spans="4:4" x14ac:dyDescent="0.3">
      <c r="D169" s="348"/>
    </row>
    <row r="170" spans="4:4" x14ac:dyDescent="0.3">
      <c r="D170" s="348"/>
    </row>
    <row r="171" spans="4:4" x14ac:dyDescent="0.3">
      <c r="D171" s="348"/>
    </row>
    <row r="172" spans="4:4" x14ac:dyDescent="0.3">
      <c r="D172" s="348"/>
    </row>
    <row r="173" spans="4:4" x14ac:dyDescent="0.3">
      <c r="D173" s="348"/>
    </row>
    <row r="174" spans="4:4" x14ac:dyDescent="0.3">
      <c r="D174" s="348"/>
    </row>
    <row r="175" spans="4:4" x14ac:dyDescent="0.3">
      <c r="D175" s="348"/>
    </row>
    <row r="176" spans="4:4" x14ac:dyDescent="0.3">
      <c r="D176" s="348"/>
    </row>
    <row r="177" spans="4:4" x14ac:dyDescent="0.3">
      <c r="D177" s="348"/>
    </row>
    <row r="178" spans="4:4" x14ac:dyDescent="0.3">
      <c r="D178" s="348"/>
    </row>
    <row r="179" spans="4:4" x14ac:dyDescent="0.3">
      <c r="D179" s="348"/>
    </row>
    <row r="180" spans="4:4" x14ac:dyDescent="0.3">
      <c r="D180" s="348"/>
    </row>
    <row r="181" spans="4:4" x14ac:dyDescent="0.3">
      <c r="D181" s="348"/>
    </row>
    <row r="182" spans="4:4" x14ac:dyDescent="0.3">
      <c r="D182" s="348"/>
    </row>
    <row r="183" spans="4:4" x14ac:dyDescent="0.3">
      <c r="D183" s="348"/>
    </row>
    <row r="184" spans="4:4" x14ac:dyDescent="0.3">
      <c r="D184" s="348"/>
    </row>
    <row r="185" spans="4:4" x14ac:dyDescent="0.3">
      <c r="D185" s="348"/>
    </row>
    <row r="186" spans="4:4" x14ac:dyDescent="0.3">
      <c r="D186" s="348"/>
    </row>
    <row r="187" spans="4:4" x14ac:dyDescent="0.3">
      <c r="D187" s="348"/>
    </row>
    <row r="188" spans="4:4" x14ac:dyDescent="0.3">
      <c r="D188" s="348"/>
    </row>
    <row r="189" spans="4:4" x14ac:dyDescent="0.3">
      <c r="D189" s="348"/>
    </row>
    <row r="190" spans="4:4" x14ac:dyDescent="0.3">
      <c r="D190" s="348"/>
    </row>
    <row r="191" spans="4:4" x14ac:dyDescent="0.3">
      <c r="D191" s="348"/>
    </row>
    <row r="192" spans="4:4" x14ac:dyDescent="0.3">
      <c r="D192" s="348"/>
    </row>
    <row r="193" spans="4:4" x14ac:dyDescent="0.3">
      <c r="D193" s="348"/>
    </row>
    <row r="194" spans="4:4" x14ac:dyDescent="0.3">
      <c r="D194" s="348"/>
    </row>
    <row r="195" spans="4:4" x14ac:dyDescent="0.3">
      <c r="D195" s="348"/>
    </row>
    <row r="196" spans="4:4" x14ac:dyDescent="0.3">
      <c r="D196" s="348"/>
    </row>
    <row r="197" spans="4:4" x14ac:dyDescent="0.3">
      <c r="D197" s="348"/>
    </row>
    <row r="198" spans="4:4" x14ac:dyDescent="0.3">
      <c r="D198" s="348"/>
    </row>
    <row r="199" spans="4:4" x14ac:dyDescent="0.3">
      <c r="D199" s="348"/>
    </row>
    <row r="200" spans="4:4" x14ac:dyDescent="0.3">
      <c r="D200" s="348"/>
    </row>
    <row r="201" spans="4:4" x14ac:dyDescent="0.3">
      <c r="D201" s="348"/>
    </row>
    <row r="202" spans="4:4" x14ac:dyDescent="0.3">
      <c r="D202" s="348"/>
    </row>
    <row r="203" spans="4:4" x14ac:dyDescent="0.3">
      <c r="D203" s="348"/>
    </row>
    <row r="204" spans="4:4" x14ac:dyDescent="0.3">
      <c r="D204" s="348"/>
    </row>
    <row r="205" spans="4:4" x14ac:dyDescent="0.3">
      <c r="D205" s="348"/>
    </row>
    <row r="206" spans="4:4" x14ac:dyDescent="0.3">
      <c r="D206" s="348"/>
    </row>
    <row r="207" spans="4:4" x14ac:dyDescent="0.3">
      <c r="D207" s="348"/>
    </row>
    <row r="208" spans="4:4" x14ac:dyDescent="0.3">
      <c r="D208" s="348"/>
    </row>
    <row r="209" spans="4:4" x14ac:dyDescent="0.3">
      <c r="D209" s="348"/>
    </row>
    <row r="210" spans="4:4" x14ac:dyDescent="0.3">
      <c r="D210" s="348"/>
    </row>
    <row r="211" spans="4:4" x14ac:dyDescent="0.3">
      <c r="D211" s="348"/>
    </row>
    <row r="212" spans="4:4" x14ac:dyDescent="0.3">
      <c r="D212" s="348"/>
    </row>
    <row r="213" spans="4:4" x14ac:dyDescent="0.3">
      <c r="D213" s="348"/>
    </row>
    <row r="214" spans="4:4" x14ac:dyDescent="0.3">
      <c r="D214" s="348"/>
    </row>
    <row r="215" spans="4:4" x14ac:dyDescent="0.3">
      <c r="D215" s="348"/>
    </row>
    <row r="216" spans="4:4" x14ac:dyDescent="0.3">
      <c r="D216" s="348"/>
    </row>
    <row r="217" spans="4:4" x14ac:dyDescent="0.3">
      <c r="D217" s="348"/>
    </row>
    <row r="218" spans="4:4" x14ac:dyDescent="0.3">
      <c r="D218" s="348"/>
    </row>
    <row r="219" spans="4:4" x14ac:dyDescent="0.3">
      <c r="D219" s="348"/>
    </row>
    <row r="220" spans="4:4" x14ac:dyDescent="0.3">
      <c r="D220" s="348"/>
    </row>
    <row r="221" spans="4:4" x14ac:dyDescent="0.3">
      <c r="D221" s="348"/>
    </row>
    <row r="222" spans="4:4" x14ac:dyDescent="0.3">
      <c r="D222" s="348"/>
    </row>
    <row r="223" spans="4:4" x14ac:dyDescent="0.3">
      <c r="D223" s="348"/>
    </row>
    <row r="224" spans="4:4" x14ac:dyDescent="0.3">
      <c r="D224" s="348"/>
    </row>
    <row r="225" spans="4:4" x14ac:dyDescent="0.3">
      <c r="D225" s="348"/>
    </row>
    <row r="226" spans="4:4" x14ac:dyDescent="0.3">
      <c r="D226" s="348"/>
    </row>
    <row r="227" spans="4:4" x14ac:dyDescent="0.3">
      <c r="D227" s="348"/>
    </row>
    <row r="228" spans="4:4" x14ac:dyDescent="0.3">
      <c r="D228" s="348"/>
    </row>
    <row r="229" spans="4:4" x14ac:dyDescent="0.3">
      <c r="D229" s="348"/>
    </row>
    <row r="230" spans="4:4" x14ac:dyDescent="0.3">
      <c r="D230" s="348"/>
    </row>
    <row r="231" spans="4:4" x14ac:dyDescent="0.3">
      <c r="D231" s="348"/>
    </row>
    <row r="232" spans="4:4" x14ac:dyDescent="0.3">
      <c r="D232" s="348"/>
    </row>
    <row r="233" spans="4:4" x14ac:dyDescent="0.3">
      <c r="D233" s="348"/>
    </row>
    <row r="234" spans="4:4" x14ac:dyDescent="0.3">
      <c r="D234" s="348"/>
    </row>
    <row r="235" spans="4:4" x14ac:dyDescent="0.3">
      <c r="D235" s="348"/>
    </row>
    <row r="236" spans="4:4" x14ac:dyDescent="0.3">
      <c r="D236" s="348"/>
    </row>
    <row r="237" spans="4:4" x14ac:dyDescent="0.3">
      <c r="D237" s="348"/>
    </row>
    <row r="238" spans="4:4" x14ac:dyDescent="0.3">
      <c r="D238" s="348"/>
    </row>
    <row r="239" spans="4:4" x14ac:dyDescent="0.3">
      <c r="D239" s="348"/>
    </row>
    <row r="240" spans="4:4" x14ac:dyDescent="0.3">
      <c r="D240" s="348"/>
    </row>
    <row r="241" spans="4:4" x14ac:dyDescent="0.3">
      <c r="D241" s="348"/>
    </row>
    <row r="242" spans="4:4" x14ac:dyDescent="0.3">
      <c r="D242" s="348"/>
    </row>
    <row r="243" spans="4:4" x14ac:dyDescent="0.3">
      <c r="D243" s="348"/>
    </row>
    <row r="244" spans="4:4" x14ac:dyDescent="0.3">
      <c r="D244" s="348"/>
    </row>
    <row r="245" spans="4:4" x14ac:dyDescent="0.3">
      <c r="D245" s="348"/>
    </row>
    <row r="246" spans="4:4" x14ac:dyDescent="0.3">
      <c r="D246" s="348"/>
    </row>
    <row r="247" spans="4:4" x14ac:dyDescent="0.3">
      <c r="D247" s="348"/>
    </row>
    <row r="248" spans="4:4" x14ac:dyDescent="0.3">
      <c r="D248" s="348"/>
    </row>
    <row r="249" spans="4:4" x14ac:dyDescent="0.3">
      <c r="D249" s="348"/>
    </row>
    <row r="250" spans="4:4" x14ac:dyDescent="0.3">
      <c r="D250" s="348"/>
    </row>
    <row r="251" spans="4:4" x14ac:dyDescent="0.3">
      <c r="D251" s="348"/>
    </row>
    <row r="252" spans="4:4" x14ac:dyDescent="0.3">
      <c r="D252" s="348"/>
    </row>
    <row r="253" spans="4:4" x14ac:dyDescent="0.3">
      <c r="D253" s="348"/>
    </row>
    <row r="254" spans="4:4" x14ac:dyDescent="0.3">
      <c r="D254" s="348"/>
    </row>
    <row r="255" spans="4:4" x14ac:dyDescent="0.3">
      <c r="D255" s="348"/>
    </row>
    <row r="256" spans="4:4" x14ac:dyDescent="0.3">
      <c r="D256" s="348"/>
    </row>
    <row r="257" spans="4:4" x14ac:dyDescent="0.3">
      <c r="D257" s="348"/>
    </row>
    <row r="258" spans="4:4" x14ac:dyDescent="0.3">
      <c r="D258" s="348"/>
    </row>
    <row r="259" spans="4:4" x14ac:dyDescent="0.3">
      <c r="D259" s="348"/>
    </row>
    <row r="260" spans="4:4" x14ac:dyDescent="0.3">
      <c r="D260" s="348"/>
    </row>
    <row r="261" spans="4:4" x14ac:dyDescent="0.3">
      <c r="D261" s="348"/>
    </row>
    <row r="262" spans="4:4" x14ac:dyDescent="0.3">
      <c r="D262" s="348"/>
    </row>
    <row r="263" spans="4:4" x14ac:dyDescent="0.3">
      <c r="D263" s="348"/>
    </row>
    <row r="264" spans="4:4" x14ac:dyDescent="0.3">
      <c r="D264" s="348"/>
    </row>
    <row r="265" spans="4:4" x14ac:dyDescent="0.3">
      <c r="D265" s="348"/>
    </row>
    <row r="266" spans="4:4" x14ac:dyDescent="0.3">
      <c r="D266" s="348"/>
    </row>
    <row r="267" spans="4:4" x14ac:dyDescent="0.3">
      <c r="D267" s="348"/>
    </row>
    <row r="268" spans="4:4" x14ac:dyDescent="0.3">
      <c r="D268" s="348"/>
    </row>
    <row r="269" spans="4:4" x14ac:dyDescent="0.3">
      <c r="D269" s="348"/>
    </row>
    <row r="270" spans="4:4" x14ac:dyDescent="0.3">
      <c r="D270" s="348"/>
    </row>
    <row r="271" spans="4:4" x14ac:dyDescent="0.3">
      <c r="D271" s="348"/>
    </row>
    <row r="272" spans="4:4" x14ac:dyDescent="0.3">
      <c r="D272" s="348"/>
    </row>
    <row r="273" spans="4:4" x14ac:dyDescent="0.3">
      <c r="D273" s="348"/>
    </row>
    <row r="274" spans="4:4" x14ac:dyDescent="0.3">
      <c r="D274" s="348"/>
    </row>
    <row r="275" spans="4:4" x14ac:dyDescent="0.3">
      <c r="D275" s="348"/>
    </row>
    <row r="276" spans="4:4" x14ac:dyDescent="0.3">
      <c r="D276" s="348"/>
    </row>
    <row r="277" spans="4:4" x14ac:dyDescent="0.3">
      <c r="D277" s="348"/>
    </row>
    <row r="278" spans="4:4" x14ac:dyDescent="0.3">
      <c r="D278" s="348"/>
    </row>
    <row r="279" spans="4:4" x14ac:dyDescent="0.3">
      <c r="D279" s="348"/>
    </row>
    <row r="280" spans="4:4" x14ac:dyDescent="0.3">
      <c r="D280" s="348"/>
    </row>
    <row r="281" spans="4:4" x14ac:dyDescent="0.3">
      <c r="D281" s="348"/>
    </row>
    <row r="282" spans="4:4" x14ac:dyDescent="0.3">
      <c r="D282" s="348"/>
    </row>
    <row r="283" spans="4:4" x14ac:dyDescent="0.3">
      <c r="D283" s="348"/>
    </row>
    <row r="284" spans="4:4" x14ac:dyDescent="0.3">
      <c r="D284" s="348"/>
    </row>
    <row r="285" spans="4:4" x14ac:dyDescent="0.3">
      <c r="D285" s="348"/>
    </row>
    <row r="286" spans="4:4" x14ac:dyDescent="0.3">
      <c r="D286" s="348"/>
    </row>
    <row r="287" spans="4:4" x14ac:dyDescent="0.3">
      <c r="D287" s="348"/>
    </row>
    <row r="288" spans="4:4" x14ac:dyDescent="0.3">
      <c r="D288" s="348"/>
    </row>
    <row r="289" spans="4:4" x14ac:dyDescent="0.3">
      <c r="D289" s="348"/>
    </row>
    <row r="290" spans="4:4" x14ac:dyDescent="0.3">
      <c r="D290" s="348"/>
    </row>
    <row r="291" spans="4:4" x14ac:dyDescent="0.3">
      <c r="D291" s="348"/>
    </row>
    <row r="292" spans="4:4" x14ac:dyDescent="0.3">
      <c r="D292" s="348"/>
    </row>
    <row r="293" spans="4:4" x14ac:dyDescent="0.3">
      <c r="D293" s="348"/>
    </row>
    <row r="294" spans="4:4" x14ac:dyDescent="0.3">
      <c r="D294" s="348"/>
    </row>
    <row r="295" spans="4:4" x14ac:dyDescent="0.3">
      <c r="D295" s="348"/>
    </row>
    <row r="296" spans="4:4" x14ac:dyDescent="0.3">
      <c r="D296" s="348"/>
    </row>
    <row r="297" spans="4:4" x14ac:dyDescent="0.3">
      <c r="D297" s="348"/>
    </row>
    <row r="298" spans="4:4" x14ac:dyDescent="0.3">
      <c r="D298" s="348"/>
    </row>
    <row r="299" spans="4:4" x14ac:dyDescent="0.3">
      <c r="D299" s="348"/>
    </row>
    <row r="300" spans="4:4" x14ac:dyDescent="0.3">
      <c r="D300" s="348"/>
    </row>
    <row r="301" spans="4:4" x14ac:dyDescent="0.3">
      <c r="D301" s="348"/>
    </row>
    <row r="302" spans="4:4" x14ac:dyDescent="0.3">
      <c r="D302" s="348"/>
    </row>
    <row r="303" spans="4:4" x14ac:dyDescent="0.3">
      <c r="D303" s="348"/>
    </row>
    <row r="304" spans="4:4" x14ac:dyDescent="0.3">
      <c r="D304" s="348"/>
    </row>
    <row r="305" spans="4:4" x14ac:dyDescent="0.3">
      <c r="D305" s="348"/>
    </row>
    <row r="306" spans="4:4" x14ac:dyDescent="0.3">
      <c r="D306" s="348"/>
    </row>
    <row r="307" spans="4:4" x14ac:dyDescent="0.3">
      <c r="D307" s="348"/>
    </row>
    <row r="308" spans="4:4" x14ac:dyDescent="0.3">
      <c r="D308" s="348"/>
    </row>
    <row r="309" spans="4:4" x14ac:dyDescent="0.3">
      <c r="D309" s="348"/>
    </row>
    <row r="310" spans="4:4" x14ac:dyDescent="0.3">
      <c r="D310" s="348"/>
    </row>
    <row r="311" spans="4:4" x14ac:dyDescent="0.3">
      <c r="D311" s="348"/>
    </row>
    <row r="312" spans="4:4" x14ac:dyDescent="0.3">
      <c r="D312" s="348"/>
    </row>
    <row r="313" spans="4:4" x14ac:dyDescent="0.3">
      <c r="D313" s="348"/>
    </row>
    <row r="314" spans="4:4" x14ac:dyDescent="0.3">
      <c r="D314" s="348"/>
    </row>
    <row r="315" spans="4:4" x14ac:dyDescent="0.3">
      <c r="D315" s="348"/>
    </row>
    <row r="316" spans="4:4" x14ac:dyDescent="0.3">
      <c r="D316" s="348"/>
    </row>
    <row r="317" spans="4:4" x14ac:dyDescent="0.3">
      <c r="D317" s="348"/>
    </row>
    <row r="318" spans="4:4" x14ac:dyDescent="0.3">
      <c r="D318" s="348"/>
    </row>
    <row r="319" spans="4:4" x14ac:dyDescent="0.3">
      <c r="D319" s="348"/>
    </row>
    <row r="320" spans="4:4" x14ac:dyDescent="0.3">
      <c r="D320" s="348"/>
    </row>
    <row r="321" spans="4:4" x14ac:dyDescent="0.3">
      <c r="D321" s="348"/>
    </row>
    <row r="322" spans="4:4" x14ac:dyDescent="0.3">
      <c r="D322" s="348"/>
    </row>
    <row r="323" spans="4:4" x14ac:dyDescent="0.3">
      <c r="D323" s="348"/>
    </row>
    <row r="324" spans="4:4" x14ac:dyDescent="0.3">
      <c r="D324" s="348"/>
    </row>
    <row r="325" spans="4:4" x14ac:dyDescent="0.3">
      <c r="D325" s="348"/>
    </row>
    <row r="326" spans="4:4" x14ac:dyDescent="0.3">
      <c r="D326" s="348"/>
    </row>
    <row r="327" spans="4:4" x14ac:dyDescent="0.3">
      <c r="D327" s="348"/>
    </row>
    <row r="328" spans="4:4" x14ac:dyDescent="0.3">
      <c r="D328" s="348"/>
    </row>
    <row r="329" spans="4:4" x14ac:dyDescent="0.3">
      <c r="D329" s="348"/>
    </row>
    <row r="330" spans="4:4" x14ac:dyDescent="0.3">
      <c r="D330" s="348"/>
    </row>
    <row r="331" spans="4:4" x14ac:dyDescent="0.3">
      <c r="D331" s="348"/>
    </row>
    <row r="332" spans="4:4" x14ac:dyDescent="0.3">
      <c r="D332" s="348"/>
    </row>
    <row r="333" spans="4:4" x14ac:dyDescent="0.3">
      <c r="D333" s="348"/>
    </row>
    <row r="334" spans="4:4" x14ac:dyDescent="0.3">
      <c r="D334" s="348"/>
    </row>
    <row r="335" spans="4:4" x14ac:dyDescent="0.3">
      <c r="D335" s="348"/>
    </row>
    <row r="336" spans="4:4" x14ac:dyDescent="0.3">
      <c r="D336" s="348"/>
    </row>
    <row r="337" spans="4:4" x14ac:dyDescent="0.3">
      <c r="D337" s="348"/>
    </row>
    <row r="338" spans="4:4" x14ac:dyDescent="0.3">
      <c r="D338" s="348"/>
    </row>
    <row r="339" spans="4:4" x14ac:dyDescent="0.3">
      <c r="D339" s="348"/>
    </row>
    <row r="340" spans="4:4" x14ac:dyDescent="0.3">
      <c r="D340" s="348"/>
    </row>
    <row r="341" spans="4:4" x14ac:dyDescent="0.3">
      <c r="D341" s="348"/>
    </row>
    <row r="342" spans="4:4" x14ac:dyDescent="0.3">
      <c r="D342" s="348"/>
    </row>
    <row r="343" spans="4:4" x14ac:dyDescent="0.3">
      <c r="D343" s="348"/>
    </row>
    <row r="344" spans="4:4" x14ac:dyDescent="0.3">
      <c r="D344" s="348"/>
    </row>
    <row r="345" spans="4:4" x14ac:dyDescent="0.3">
      <c r="D345" s="348"/>
    </row>
    <row r="346" spans="4:4" x14ac:dyDescent="0.3">
      <c r="D346" s="348"/>
    </row>
    <row r="347" spans="4:4" x14ac:dyDescent="0.3">
      <c r="D347" s="348"/>
    </row>
    <row r="348" spans="4:4" x14ac:dyDescent="0.3">
      <c r="D348" s="348"/>
    </row>
    <row r="349" spans="4:4" x14ac:dyDescent="0.3">
      <c r="D349" s="348"/>
    </row>
    <row r="350" spans="4:4" x14ac:dyDescent="0.3">
      <c r="D350" s="348"/>
    </row>
    <row r="351" spans="4:4" x14ac:dyDescent="0.3">
      <c r="D351" s="348"/>
    </row>
    <row r="352" spans="4:4" x14ac:dyDescent="0.3">
      <c r="D352" s="348"/>
    </row>
    <row r="353" spans="4:4" x14ac:dyDescent="0.3">
      <c r="D353" s="348"/>
    </row>
    <row r="354" spans="4:4" x14ac:dyDescent="0.3">
      <c r="D354" s="348"/>
    </row>
    <row r="355" spans="4:4" x14ac:dyDescent="0.3">
      <c r="D355" s="348"/>
    </row>
    <row r="356" spans="4:4" x14ac:dyDescent="0.3">
      <c r="D356" s="348"/>
    </row>
    <row r="357" spans="4:4" x14ac:dyDescent="0.3">
      <c r="D357" s="348"/>
    </row>
    <row r="358" spans="4:4" x14ac:dyDescent="0.3">
      <c r="D358" s="348"/>
    </row>
    <row r="359" spans="4:4" x14ac:dyDescent="0.3">
      <c r="D359" s="348"/>
    </row>
    <row r="360" spans="4:4" x14ac:dyDescent="0.3">
      <c r="D360" s="348"/>
    </row>
    <row r="361" spans="4:4" x14ac:dyDescent="0.3">
      <c r="D361" s="348"/>
    </row>
    <row r="362" spans="4:4" x14ac:dyDescent="0.3">
      <c r="D362" s="348"/>
    </row>
    <row r="363" spans="4:4" x14ac:dyDescent="0.3">
      <c r="D363" s="348"/>
    </row>
    <row r="364" spans="4:4" x14ac:dyDescent="0.3">
      <c r="D364" s="348"/>
    </row>
    <row r="365" spans="4:4" x14ac:dyDescent="0.3">
      <c r="D365" s="348"/>
    </row>
    <row r="366" spans="4:4" x14ac:dyDescent="0.3">
      <c r="D366" s="348"/>
    </row>
    <row r="367" spans="4:4" x14ac:dyDescent="0.3">
      <c r="D367" s="348"/>
    </row>
    <row r="368" spans="4:4" x14ac:dyDescent="0.3">
      <c r="D368" s="348"/>
    </row>
    <row r="369" spans="4:4" x14ac:dyDescent="0.3">
      <c r="D369" s="348"/>
    </row>
    <row r="370" spans="4:4" x14ac:dyDescent="0.3">
      <c r="D370" s="348"/>
    </row>
    <row r="371" spans="4:4" x14ac:dyDescent="0.3">
      <c r="D371" s="348"/>
    </row>
    <row r="372" spans="4:4" x14ac:dyDescent="0.3">
      <c r="D372" s="348"/>
    </row>
    <row r="373" spans="4:4" x14ac:dyDescent="0.3">
      <c r="D373" s="348"/>
    </row>
    <row r="374" spans="4:4" x14ac:dyDescent="0.3">
      <c r="D374" s="348"/>
    </row>
    <row r="375" spans="4:4" x14ac:dyDescent="0.3">
      <c r="D375" s="348"/>
    </row>
    <row r="376" spans="4:4" x14ac:dyDescent="0.3">
      <c r="D376" s="348"/>
    </row>
    <row r="377" spans="4:4" x14ac:dyDescent="0.3">
      <c r="D377" s="348"/>
    </row>
    <row r="378" spans="4:4" x14ac:dyDescent="0.3">
      <c r="D378" s="348"/>
    </row>
    <row r="379" spans="4:4" x14ac:dyDescent="0.3">
      <c r="D379" s="348"/>
    </row>
    <row r="380" spans="4:4" x14ac:dyDescent="0.3">
      <c r="D380" s="348"/>
    </row>
    <row r="381" spans="4:4" x14ac:dyDescent="0.3">
      <c r="D381" s="348"/>
    </row>
    <row r="382" spans="4:4" x14ac:dyDescent="0.3">
      <c r="D382" s="348"/>
    </row>
    <row r="383" spans="4:4" x14ac:dyDescent="0.3">
      <c r="D383" s="348"/>
    </row>
    <row r="384" spans="4:4" x14ac:dyDescent="0.3">
      <c r="D384" s="348"/>
    </row>
    <row r="385" spans="4:4" x14ac:dyDescent="0.3">
      <c r="D385" s="348"/>
    </row>
    <row r="386" spans="4:4" x14ac:dyDescent="0.3">
      <c r="D386" s="348"/>
    </row>
    <row r="387" spans="4:4" x14ac:dyDescent="0.3">
      <c r="D387" s="348"/>
    </row>
    <row r="388" spans="4:4" x14ac:dyDescent="0.3">
      <c r="D388" s="348"/>
    </row>
    <row r="389" spans="4:4" x14ac:dyDescent="0.3">
      <c r="D389" s="348"/>
    </row>
    <row r="390" spans="4:4" x14ac:dyDescent="0.3">
      <c r="D390" s="348"/>
    </row>
    <row r="391" spans="4:4" x14ac:dyDescent="0.3">
      <c r="D391" s="348"/>
    </row>
    <row r="392" spans="4:4" x14ac:dyDescent="0.3">
      <c r="D392" s="348"/>
    </row>
    <row r="393" spans="4:4" x14ac:dyDescent="0.3">
      <c r="D393" s="348"/>
    </row>
    <row r="394" spans="4:4" x14ac:dyDescent="0.3">
      <c r="D394" s="348"/>
    </row>
    <row r="395" spans="4:4" x14ac:dyDescent="0.3">
      <c r="D395" s="348"/>
    </row>
    <row r="396" spans="4:4" x14ac:dyDescent="0.3">
      <c r="D396" s="348"/>
    </row>
    <row r="397" spans="4:4" x14ac:dyDescent="0.3">
      <c r="D397" s="348"/>
    </row>
    <row r="398" spans="4:4" x14ac:dyDescent="0.3">
      <c r="D398" s="348"/>
    </row>
    <row r="399" spans="4:4" x14ac:dyDescent="0.3">
      <c r="D399" s="348"/>
    </row>
    <row r="400" spans="4:4" x14ac:dyDescent="0.3">
      <c r="D400" s="348"/>
    </row>
    <row r="401" spans="4:4" x14ac:dyDescent="0.3">
      <c r="D401" s="348"/>
    </row>
    <row r="402" spans="4:4" x14ac:dyDescent="0.3">
      <c r="D402" s="348"/>
    </row>
    <row r="403" spans="4:4" x14ac:dyDescent="0.3">
      <c r="D403" s="348"/>
    </row>
    <row r="404" spans="4:4" x14ac:dyDescent="0.3">
      <c r="D404" s="348"/>
    </row>
    <row r="405" spans="4:4" x14ac:dyDescent="0.3">
      <c r="D405" s="348"/>
    </row>
    <row r="406" spans="4:4" x14ac:dyDescent="0.3">
      <c r="D406" s="348"/>
    </row>
    <row r="407" spans="4:4" x14ac:dyDescent="0.3">
      <c r="D407" s="348"/>
    </row>
    <row r="408" spans="4:4" x14ac:dyDescent="0.3">
      <c r="D408" s="348"/>
    </row>
    <row r="409" spans="4:4" x14ac:dyDescent="0.3">
      <c r="D409" s="348"/>
    </row>
    <row r="410" spans="4:4" x14ac:dyDescent="0.3">
      <c r="D410" s="348"/>
    </row>
    <row r="411" spans="4:4" x14ac:dyDescent="0.3">
      <c r="D411" s="348"/>
    </row>
    <row r="412" spans="4:4" x14ac:dyDescent="0.3">
      <c r="D412" s="348"/>
    </row>
    <row r="413" spans="4:4" x14ac:dyDescent="0.3">
      <c r="D413" s="348"/>
    </row>
    <row r="414" spans="4:4" x14ac:dyDescent="0.3">
      <c r="D414" s="348"/>
    </row>
    <row r="415" spans="4:4" x14ac:dyDescent="0.3">
      <c r="D415" s="348"/>
    </row>
    <row r="416" spans="4:4" x14ac:dyDescent="0.3">
      <c r="D416" s="348"/>
    </row>
    <row r="417" spans="4:4" x14ac:dyDescent="0.3">
      <c r="D417" s="348"/>
    </row>
    <row r="418" spans="4:4" x14ac:dyDescent="0.3">
      <c r="D418" s="348"/>
    </row>
    <row r="419" spans="4:4" x14ac:dyDescent="0.3">
      <c r="D419" s="348"/>
    </row>
    <row r="420" spans="4:4" x14ac:dyDescent="0.3">
      <c r="D420" s="348"/>
    </row>
    <row r="421" spans="4:4" x14ac:dyDescent="0.3">
      <c r="D421" s="348"/>
    </row>
    <row r="422" spans="4:4" x14ac:dyDescent="0.3">
      <c r="D422" s="348"/>
    </row>
    <row r="423" spans="4:4" x14ac:dyDescent="0.3">
      <c r="D423" s="348"/>
    </row>
    <row r="424" spans="4:4" x14ac:dyDescent="0.3">
      <c r="D424" s="348"/>
    </row>
    <row r="425" spans="4:4" x14ac:dyDescent="0.3">
      <c r="D425" s="348"/>
    </row>
    <row r="426" spans="4:4" x14ac:dyDescent="0.3">
      <c r="D426" s="348"/>
    </row>
    <row r="427" spans="4:4" x14ac:dyDescent="0.3">
      <c r="D427" s="348"/>
    </row>
    <row r="428" spans="4:4" x14ac:dyDescent="0.3">
      <c r="D428" s="348"/>
    </row>
    <row r="429" spans="4:4" x14ac:dyDescent="0.3">
      <c r="D429" s="348"/>
    </row>
    <row r="430" spans="4:4" x14ac:dyDescent="0.3">
      <c r="D430" s="348"/>
    </row>
    <row r="431" spans="4:4" x14ac:dyDescent="0.3">
      <c r="D431" s="348"/>
    </row>
    <row r="432" spans="4:4" x14ac:dyDescent="0.3">
      <c r="D432" s="348"/>
    </row>
    <row r="433" spans="4:4" x14ac:dyDescent="0.3">
      <c r="D433" s="348"/>
    </row>
    <row r="434" spans="4:4" x14ac:dyDescent="0.3">
      <c r="D434" s="348"/>
    </row>
    <row r="435" spans="4:4" x14ac:dyDescent="0.3">
      <c r="D435" s="348"/>
    </row>
    <row r="436" spans="4:4" x14ac:dyDescent="0.3">
      <c r="D436" s="348"/>
    </row>
    <row r="437" spans="4:4" x14ac:dyDescent="0.3">
      <c r="D437" s="348"/>
    </row>
    <row r="438" spans="4:4" x14ac:dyDescent="0.3">
      <c r="D438" s="348"/>
    </row>
    <row r="439" spans="4:4" x14ac:dyDescent="0.3">
      <c r="D439" s="348"/>
    </row>
    <row r="440" spans="4:4" x14ac:dyDescent="0.3">
      <c r="D440" s="348"/>
    </row>
    <row r="441" spans="4:4" x14ac:dyDescent="0.3">
      <c r="D441" s="348"/>
    </row>
    <row r="442" spans="4:4" x14ac:dyDescent="0.3">
      <c r="D442" s="348"/>
    </row>
    <row r="443" spans="4:4" x14ac:dyDescent="0.3">
      <c r="D443" s="348"/>
    </row>
    <row r="444" spans="4:4" x14ac:dyDescent="0.3">
      <c r="D444" s="348"/>
    </row>
    <row r="445" spans="4:4" x14ac:dyDescent="0.3">
      <c r="D445" s="348"/>
    </row>
    <row r="446" spans="4:4" x14ac:dyDescent="0.3">
      <c r="D446" s="348"/>
    </row>
    <row r="447" spans="4:4" x14ac:dyDescent="0.3">
      <c r="D447" s="348"/>
    </row>
    <row r="448" spans="4:4" x14ac:dyDescent="0.3">
      <c r="D448" s="348"/>
    </row>
    <row r="449" spans="4:4" x14ac:dyDescent="0.3">
      <c r="D449" s="348"/>
    </row>
    <row r="450" spans="4:4" x14ac:dyDescent="0.3">
      <c r="D450" s="348"/>
    </row>
    <row r="451" spans="4:4" x14ac:dyDescent="0.3">
      <c r="D451" s="348"/>
    </row>
    <row r="452" spans="4:4" x14ac:dyDescent="0.3">
      <c r="D452" s="348"/>
    </row>
    <row r="453" spans="4:4" x14ac:dyDescent="0.3">
      <c r="D453" s="348"/>
    </row>
    <row r="454" spans="4:4" x14ac:dyDescent="0.3">
      <c r="D454" s="348"/>
    </row>
    <row r="455" spans="4:4" x14ac:dyDescent="0.3">
      <c r="D455" s="348"/>
    </row>
    <row r="456" spans="4:4" x14ac:dyDescent="0.3">
      <c r="D456" s="348"/>
    </row>
    <row r="457" spans="4:4" x14ac:dyDescent="0.3">
      <c r="D457" s="348"/>
    </row>
    <row r="458" spans="4:4" x14ac:dyDescent="0.3">
      <c r="D458" s="348"/>
    </row>
    <row r="459" spans="4:4" x14ac:dyDescent="0.3">
      <c r="D459" s="348"/>
    </row>
    <row r="460" spans="4:4" x14ac:dyDescent="0.3">
      <c r="D460" s="348"/>
    </row>
    <row r="461" spans="4:4" x14ac:dyDescent="0.3">
      <c r="D461" s="348"/>
    </row>
    <row r="462" spans="4:4" x14ac:dyDescent="0.3">
      <c r="D462" s="348"/>
    </row>
    <row r="463" spans="4:4" x14ac:dyDescent="0.3">
      <c r="D463" s="348"/>
    </row>
    <row r="464" spans="4:4" x14ac:dyDescent="0.3">
      <c r="D464" s="348"/>
    </row>
    <row r="465" spans="4:4" x14ac:dyDescent="0.3">
      <c r="D465" s="348"/>
    </row>
    <row r="466" spans="4:4" x14ac:dyDescent="0.3">
      <c r="D466" s="348"/>
    </row>
    <row r="467" spans="4:4" x14ac:dyDescent="0.3">
      <c r="D467" s="348"/>
    </row>
    <row r="468" spans="4:4" x14ac:dyDescent="0.3">
      <c r="D468" s="348"/>
    </row>
    <row r="469" spans="4:4" x14ac:dyDescent="0.3">
      <c r="D469" s="348"/>
    </row>
    <row r="470" spans="4:4" x14ac:dyDescent="0.3">
      <c r="D470" s="348"/>
    </row>
    <row r="471" spans="4:4" x14ac:dyDescent="0.3">
      <c r="D471" s="348"/>
    </row>
    <row r="472" spans="4:4" x14ac:dyDescent="0.3">
      <c r="D472" s="348"/>
    </row>
    <row r="473" spans="4:4" x14ac:dyDescent="0.3">
      <c r="D473" s="348"/>
    </row>
    <row r="474" spans="4:4" x14ac:dyDescent="0.3">
      <c r="D474" s="348"/>
    </row>
    <row r="475" spans="4:4" x14ac:dyDescent="0.3">
      <c r="D475" s="348"/>
    </row>
    <row r="476" spans="4:4" x14ac:dyDescent="0.3">
      <c r="D476" s="348"/>
    </row>
    <row r="477" spans="4:4" x14ac:dyDescent="0.3">
      <c r="D477" s="348"/>
    </row>
    <row r="478" spans="4:4" x14ac:dyDescent="0.3">
      <c r="D478" s="348"/>
    </row>
    <row r="479" spans="4:4" x14ac:dyDescent="0.3">
      <c r="D479" s="348"/>
    </row>
    <row r="480" spans="4:4" x14ac:dyDescent="0.3">
      <c r="D480" s="348"/>
    </row>
    <row r="481" spans="4:4" x14ac:dyDescent="0.3">
      <c r="D481" s="348"/>
    </row>
    <row r="482" spans="4:4" x14ac:dyDescent="0.3">
      <c r="D482" s="348"/>
    </row>
    <row r="483" spans="4:4" x14ac:dyDescent="0.3">
      <c r="D483" s="348"/>
    </row>
    <row r="484" spans="4:4" x14ac:dyDescent="0.3">
      <c r="D484" s="348"/>
    </row>
    <row r="485" spans="4:4" x14ac:dyDescent="0.3">
      <c r="D485" s="348"/>
    </row>
    <row r="486" spans="4:4" x14ac:dyDescent="0.3">
      <c r="D486" s="348"/>
    </row>
    <row r="487" spans="4:4" x14ac:dyDescent="0.3">
      <c r="D487" s="348"/>
    </row>
    <row r="488" spans="4:4" x14ac:dyDescent="0.3">
      <c r="D488" s="348"/>
    </row>
    <row r="489" spans="4:4" x14ac:dyDescent="0.3">
      <c r="D489" s="348"/>
    </row>
    <row r="490" spans="4:4" x14ac:dyDescent="0.3">
      <c r="D490" s="348"/>
    </row>
    <row r="491" spans="4:4" x14ac:dyDescent="0.3">
      <c r="D491" s="348"/>
    </row>
    <row r="492" spans="4:4" x14ac:dyDescent="0.3">
      <c r="D492" s="348"/>
    </row>
    <row r="493" spans="4:4" x14ac:dyDescent="0.3">
      <c r="D493" s="348"/>
    </row>
    <row r="494" spans="4:4" x14ac:dyDescent="0.3">
      <c r="D494" s="348"/>
    </row>
    <row r="495" spans="4:4" x14ac:dyDescent="0.3">
      <c r="D495" s="348"/>
    </row>
    <row r="496" spans="4:4" x14ac:dyDescent="0.3">
      <c r="D496" s="348"/>
    </row>
    <row r="497" spans="4:4" x14ac:dyDescent="0.3">
      <c r="D497" s="348"/>
    </row>
    <row r="498" spans="4:4" x14ac:dyDescent="0.3">
      <c r="D498" s="348"/>
    </row>
    <row r="499" spans="4:4" x14ac:dyDescent="0.3">
      <c r="D499" s="348"/>
    </row>
    <row r="500" spans="4:4" x14ac:dyDescent="0.3">
      <c r="D500" s="348"/>
    </row>
    <row r="501" spans="4:4" x14ac:dyDescent="0.3">
      <c r="D501" s="348"/>
    </row>
    <row r="502" spans="4:4" x14ac:dyDescent="0.3">
      <c r="D502" s="348"/>
    </row>
    <row r="503" spans="4:4" x14ac:dyDescent="0.3">
      <c r="D503" s="348"/>
    </row>
    <row r="504" spans="4:4" x14ac:dyDescent="0.3">
      <c r="D504" s="348"/>
    </row>
    <row r="505" spans="4:4" x14ac:dyDescent="0.3">
      <c r="D505" s="348"/>
    </row>
    <row r="506" spans="4:4" x14ac:dyDescent="0.3">
      <c r="D506" s="348"/>
    </row>
    <row r="507" spans="4:4" x14ac:dyDescent="0.3">
      <c r="D507" s="348"/>
    </row>
    <row r="508" spans="4:4" x14ac:dyDescent="0.3">
      <c r="D508" s="348"/>
    </row>
    <row r="509" spans="4:4" x14ac:dyDescent="0.3">
      <c r="D509" s="348"/>
    </row>
    <row r="510" spans="4:4" x14ac:dyDescent="0.3">
      <c r="D510" s="348"/>
    </row>
    <row r="511" spans="4:4" x14ac:dyDescent="0.3">
      <c r="D511" s="348"/>
    </row>
    <row r="512" spans="4:4" x14ac:dyDescent="0.3">
      <c r="D512" s="348"/>
    </row>
    <row r="513" spans="4:4" x14ac:dyDescent="0.3">
      <c r="D513" s="348"/>
    </row>
    <row r="514" spans="4:4" x14ac:dyDescent="0.3">
      <c r="D514" s="348"/>
    </row>
    <row r="515" spans="4:4" x14ac:dyDescent="0.3">
      <c r="D515" s="348"/>
    </row>
    <row r="516" spans="4:4" x14ac:dyDescent="0.3">
      <c r="D516" s="348"/>
    </row>
    <row r="517" spans="4:4" x14ac:dyDescent="0.3">
      <c r="D517" s="348"/>
    </row>
    <row r="518" spans="4:4" x14ac:dyDescent="0.3">
      <c r="D518" s="348"/>
    </row>
    <row r="519" spans="4:4" x14ac:dyDescent="0.3">
      <c r="D519" s="348"/>
    </row>
    <row r="520" spans="4:4" x14ac:dyDescent="0.3">
      <c r="D520" s="348"/>
    </row>
    <row r="521" spans="4:4" x14ac:dyDescent="0.3">
      <c r="D521" s="348"/>
    </row>
    <row r="522" spans="4:4" x14ac:dyDescent="0.3">
      <c r="D522" s="348"/>
    </row>
    <row r="523" spans="4:4" x14ac:dyDescent="0.3">
      <c r="D523" s="348"/>
    </row>
    <row r="524" spans="4:4" x14ac:dyDescent="0.3">
      <c r="D524" s="348"/>
    </row>
    <row r="525" spans="4:4" x14ac:dyDescent="0.3">
      <c r="D525" s="348"/>
    </row>
    <row r="526" spans="4:4" x14ac:dyDescent="0.3">
      <c r="D526" s="348"/>
    </row>
    <row r="527" spans="4:4" x14ac:dyDescent="0.3">
      <c r="D527" s="348"/>
    </row>
    <row r="528" spans="4:4" x14ac:dyDescent="0.3">
      <c r="D528" s="348"/>
    </row>
    <row r="529" spans="4:4" x14ac:dyDescent="0.3">
      <c r="D529" s="348"/>
    </row>
    <row r="530" spans="4:4" x14ac:dyDescent="0.3">
      <c r="D530" s="348"/>
    </row>
    <row r="531" spans="4:4" x14ac:dyDescent="0.3">
      <c r="D531" s="348"/>
    </row>
    <row r="532" spans="4:4" x14ac:dyDescent="0.3">
      <c r="D532" s="348"/>
    </row>
    <row r="533" spans="4:4" x14ac:dyDescent="0.3">
      <c r="D533" s="348"/>
    </row>
    <row r="534" spans="4:4" x14ac:dyDescent="0.3">
      <c r="D534" s="348"/>
    </row>
    <row r="535" spans="4:4" x14ac:dyDescent="0.3">
      <c r="D535" s="348"/>
    </row>
    <row r="536" spans="4:4" x14ac:dyDescent="0.3">
      <c r="D536" s="348"/>
    </row>
    <row r="537" spans="4:4" x14ac:dyDescent="0.3">
      <c r="D537" s="348"/>
    </row>
    <row r="538" spans="4:4" x14ac:dyDescent="0.3">
      <c r="D538" s="348"/>
    </row>
    <row r="539" spans="4:4" x14ac:dyDescent="0.3">
      <c r="D539" s="348"/>
    </row>
    <row r="540" spans="4:4" x14ac:dyDescent="0.3">
      <c r="D540" s="348"/>
    </row>
    <row r="541" spans="4:4" x14ac:dyDescent="0.3">
      <c r="D541" s="348"/>
    </row>
    <row r="542" spans="4:4" x14ac:dyDescent="0.3">
      <c r="D542" s="348"/>
    </row>
    <row r="543" spans="4:4" x14ac:dyDescent="0.3">
      <c r="D543" s="348"/>
    </row>
    <row r="544" spans="4:4" x14ac:dyDescent="0.3">
      <c r="D544" s="348"/>
    </row>
    <row r="545" spans="4:4" x14ac:dyDescent="0.3">
      <c r="D545" s="348"/>
    </row>
    <row r="546" spans="4:4" x14ac:dyDescent="0.3">
      <c r="D546" s="348"/>
    </row>
    <row r="547" spans="4:4" x14ac:dyDescent="0.3">
      <c r="D547" s="348"/>
    </row>
    <row r="548" spans="4:4" x14ac:dyDescent="0.3">
      <c r="D548" s="348"/>
    </row>
    <row r="549" spans="4:4" x14ac:dyDescent="0.3">
      <c r="D549" s="348"/>
    </row>
    <row r="550" spans="4:4" x14ac:dyDescent="0.3">
      <c r="D550" s="348"/>
    </row>
    <row r="551" spans="4:4" x14ac:dyDescent="0.3">
      <c r="D551" s="348"/>
    </row>
    <row r="552" spans="4:4" x14ac:dyDescent="0.3">
      <c r="D552" s="348"/>
    </row>
    <row r="553" spans="4:4" x14ac:dyDescent="0.3">
      <c r="D553" s="348"/>
    </row>
    <row r="554" spans="4:4" x14ac:dyDescent="0.3">
      <c r="D554" s="348"/>
    </row>
    <row r="555" spans="4:4" x14ac:dyDescent="0.3">
      <c r="D555" s="348"/>
    </row>
    <row r="556" spans="4:4" x14ac:dyDescent="0.3">
      <c r="D556" s="348"/>
    </row>
    <row r="557" spans="4:4" x14ac:dyDescent="0.3">
      <c r="D557" s="348"/>
    </row>
    <row r="558" spans="4:4" x14ac:dyDescent="0.3">
      <c r="D558" s="348"/>
    </row>
    <row r="559" spans="4:4" x14ac:dyDescent="0.3">
      <c r="D559" s="348"/>
    </row>
    <row r="560" spans="4:4" x14ac:dyDescent="0.3">
      <c r="D560" s="348"/>
    </row>
    <row r="561" spans="4:4" x14ac:dyDescent="0.3">
      <c r="D561" s="348"/>
    </row>
    <row r="562" spans="4:4" x14ac:dyDescent="0.3">
      <c r="D562" s="348"/>
    </row>
    <row r="563" spans="4:4" x14ac:dyDescent="0.3">
      <c r="D563" s="348"/>
    </row>
    <row r="564" spans="4:4" x14ac:dyDescent="0.3">
      <c r="D564" s="348"/>
    </row>
    <row r="565" spans="4:4" x14ac:dyDescent="0.3">
      <c r="D565" s="348"/>
    </row>
    <row r="566" spans="4:4" x14ac:dyDescent="0.3">
      <c r="D566" s="348"/>
    </row>
    <row r="567" spans="4:4" x14ac:dyDescent="0.3">
      <c r="D567" s="348"/>
    </row>
    <row r="568" spans="4:4" x14ac:dyDescent="0.3">
      <c r="D568" s="348"/>
    </row>
    <row r="569" spans="4:4" x14ac:dyDescent="0.3">
      <c r="D569" s="348"/>
    </row>
    <row r="570" spans="4:4" x14ac:dyDescent="0.3">
      <c r="D570" s="348"/>
    </row>
    <row r="571" spans="4:4" x14ac:dyDescent="0.3">
      <c r="D571" s="348"/>
    </row>
    <row r="572" spans="4:4" x14ac:dyDescent="0.3">
      <c r="D572" s="348"/>
    </row>
    <row r="573" spans="4:4" x14ac:dyDescent="0.3">
      <c r="D573" s="348"/>
    </row>
    <row r="574" spans="4:4" x14ac:dyDescent="0.3">
      <c r="D574" s="348"/>
    </row>
    <row r="575" spans="4:4" x14ac:dyDescent="0.3">
      <c r="D575" s="348"/>
    </row>
    <row r="576" spans="4:4" x14ac:dyDescent="0.3">
      <c r="D576" s="348"/>
    </row>
    <row r="577" spans="4:4" x14ac:dyDescent="0.3">
      <c r="D577" s="348"/>
    </row>
    <row r="578" spans="4:4" x14ac:dyDescent="0.3">
      <c r="D578" s="348"/>
    </row>
    <row r="579" spans="4:4" x14ac:dyDescent="0.3">
      <c r="D579" s="348"/>
    </row>
    <row r="580" spans="4:4" x14ac:dyDescent="0.3">
      <c r="D580" s="348"/>
    </row>
    <row r="581" spans="4:4" x14ac:dyDescent="0.3">
      <c r="D581" s="348"/>
    </row>
    <row r="582" spans="4:4" x14ac:dyDescent="0.3">
      <c r="D582" s="348"/>
    </row>
    <row r="583" spans="4:4" x14ac:dyDescent="0.3">
      <c r="D583" s="348"/>
    </row>
    <row r="584" spans="4:4" x14ac:dyDescent="0.3">
      <c r="D584" s="348"/>
    </row>
    <row r="585" spans="4:4" x14ac:dyDescent="0.3">
      <c r="D585" s="348"/>
    </row>
    <row r="586" spans="4:4" x14ac:dyDescent="0.3">
      <c r="D586" s="348"/>
    </row>
    <row r="587" spans="4:4" x14ac:dyDescent="0.3">
      <c r="D587" s="348"/>
    </row>
    <row r="588" spans="4:4" x14ac:dyDescent="0.3">
      <c r="D588" s="348"/>
    </row>
    <row r="589" spans="4:4" x14ac:dyDescent="0.3">
      <c r="D589" s="348"/>
    </row>
    <row r="590" spans="4:4" x14ac:dyDescent="0.3">
      <c r="D590" s="348"/>
    </row>
    <row r="591" spans="4:4" x14ac:dyDescent="0.3">
      <c r="D591" s="348"/>
    </row>
    <row r="592" spans="4:4" x14ac:dyDescent="0.3">
      <c r="D592" s="348"/>
    </row>
    <row r="593" spans="4:4" x14ac:dyDescent="0.3">
      <c r="D593" s="348"/>
    </row>
    <row r="594" spans="4:4" x14ac:dyDescent="0.3">
      <c r="D594" s="348"/>
    </row>
    <row r="595" spans="4:4" x14ac:dyDescent="0.3">
      <c r="D595" s="348"/>
    </row>
    <row r="596" spans="4:4" x14ac:dyDescent="0.3">
      <c r="D596" s="348"/>
    </row>
    <row r="597" spans="4:4" x14ac:dyDescent="0.3">
      <c r="D597" s="348"/>
    </row>
    <row r="598" spans="4:4" x14ac:dyDescent="0.3">
      <c r="D598" s="348"/>
    </row>
    <row r="599" spans="4:4" x14ac:dyDescent="0.3">
      <c r="D599" s="348"/>
    </row>
    <row r="600" spans="4:4" x14ac:dyDescent="0.3">
      <c r="D600" s="348"/>
    </row>
    <row r="601" spans="4:4" x14ac:dyDescent="0.3">
      <c r="D601" s="348"/>
    </row>
    <row r="602" spans="4:4" x14ac:dyDescent="0.3">
      <c r="D602" s="348"/>
    </row>
    <row r="603" spans="4:4" x14ac:dyDescent="0.3">
      <c r="D603" s="348"/>
    </row>
    <row r="604" spans="4:4" x14ac:dyDescent="0.3">
      <c r="D604" s="348"/>
    </row>
    <row r="605" spans="4:4" x14ac:dyDescent="0.3">
      <c r="D605" s="348"/>
    </row>
    <row r="606" spans="4:4" x14ac:dyDescent="0.3">
      <c r="D606" s="348"/>
    </row>
    <row r="607" spans="4:4" x14ac:dyDescent="0.3">
      <c r="D607" s="348"/>
    </row>
    <row r="608" spans="4:4" x14ac:dyDescent="0.3">
      <c r="D608" s="348"/>
    </row>
    <row r="609" spans="4:4" x14ac:dyDescent="0.3">
      <c r="D609" s="348"/>
    </row>
    <row r="610" spans="4:4" x14ac:dyDescent="0.3">
      <c r="D610" s="348"/>
    </row>
    <row r="611" spans="4:4" x14ac:dyDescent="0.3">
      <c r="D611" s="348"/>
    </row>
    <row r="612" spans="4:4" x14ac:dyDescent="0.3">
      <c r="D612" s="348"/>
    </row>
    <row r="613" spans="4:4" x14ac:dyDescent="0.3">
      <c r="D613" s="348"/>
    </row>
    <row r="614" spans="4:4" x14ac:dyDescent="0.3">
      <c r="D614" s="348"/>
    </row>
    <row r="615" spans="4:4" x14ac:dyDescent="0.3">
      <c r="D615" s="348"/>
    </row>
    <row r="616" spans="4:4" x14ac:dyDescent="0.3">
      <c r="D616" s="348"/>
    </row>
    <row r="617" spans="4:4" x14ac:dyDescent="0.3">
      <c r="D617" s="348"/>
    </row>
    <row r="618" spans="4:4" x14ac:dyDescent="0.3">
      <c r="D618" s="348"/>
    </row>
    <row r="619" spans="4:4" x14ac:dyDescent="0.3">
      <c r="D619" s="348"/>
    </row>
    <row r="620" spans="4:4" x14ac:dyDescent="0.3">
      <c r="D620" s="348"/>
    </row>
    <row r="621" spans="4:4" x14ac:dyDescent="0.3">
      <c r="D621" s="348"/>
    </row>
    <row r="622" spans="4:4" x14ac:dyDescent="0.3">
      <c r="D622" s="348"/>
    </row>
    <row r="623" spans="4:4" x14ac:dyDescent="0.3">
      <c r="D623" s="348"/>
    </row>
    <row r="624" spans="4:4" x14ac:dyDescent="0.3">
      <c r="D624" s="348"/>
    </row>
    <row r="625" spans="4:4" x14ac:dyDescent="0.3">
      <c r="D625" s="348"/>
    </row>
    <row r="626" spans="4:4" x14ac:dyDescent="0.3">
      <c r="D626" s="348"/>
    </row>
    <row r="627" spans="4:4" x14ac:dyDescent="0.3">
      <c r="D627" s="348"/>
    </row>
    <row r="628" spans="4:4" x14ac:dyDescent="0.3">
      <c r="D628" s="348"/>
    </row>
    <row r="629" spans="4:4" x14ac:dyDescent="0.3">
      <c r="D629" s="348"/>
    </row>
    <row r="630" spans="4:4" x14ac:dyDescent="0.3">
      <c r="D630" s="348"/>
    </row>
    <row r="631" spans="4:4" x14ac:dyDescent="0.3">
      <c r="D631" s="348"/>
    </row>
    <row r="632" spans="4:4" x14ac:dyDescent="0.3">
      <c r="D632" s="348"/>
    </row>
    <row r="633" spans="4:4" x14ac:dyDescent="0.3">
      <c r="D633" s="348"/>
    </row>
    <row r="634" spans="4:4" x14ac:dyDescent="0.3">
      <c r="D634" s="348"/>
    </row>
    <row r="635" spans="4:4" x14ac:dyDescent="0.3">
      <c r="D635" s="348"/>
    </row>
    <row r="636" spans="4:4" x14ac:dyDescent="0.3">
      <c r="D636" s="348"/>
    </row>
    <row r="637" spans="4:4" x14ac:dyDescent="0.3">
      <c r="D637" s="348"/>
    </row>
    <row r="638" spans="4:4" x14ac:dyDescent="0.3">
      <c r="D638" s="348"/>
    </row>
    <row r="639" spans="4:4" x14ac:dyDescent="0.3">
      <c r="D639" s="348"/>
    </row>
    <row r="640" spans="4:4" x14ac:dyDescent="0.3">
      <c r="D640" s="348"/>
    </row>
    <row r="641" spans="4:4" x14ac:dyDescent="0.3">
      <c r="D641" s="348"/>
    </row>
    <row r="642" spans="4:4" x14ac:dyDescent="0.3">
      <c r="D642" s="348"/>
    </row>
    <row r="643" spans="4:4" x14ac:dyDescent="0.3">
      <c r="D643" s="348"/>
    </row>
    <row r="644" spans="4:4" x14ac:dyDescent="0.3">
      <c r="D644" s="348"/>
    </row>
    <row r="645" spans="4:4" x14ac:dyDescent="0.3">
      <c r="D645" s="348"/>
    </row>
    <row r="646" spans="4:4" x14ac:dyDescent="0.3">
      <c r="D646" s="348"/>
    </row>
    <row r="647" spans="4:4" x14ac:dyDescent="0.3">
      <c r="D647" s="348"/>
    </row>
    <row r="648" spans="4:4" x14ac:dyDescent="0.3">
      <c r="D648" s="348"/>
    </row>
    <row r="649" spans="4:4" x14ac:dyDescent="0.3">
      <c r="D649" s="348"/>
    </row>
    <row r="650" spans="4:4" x14ac:dyDescent="0.3">
      <c r="D650" s="348"/>
    </row>
    <row r="651" spans="4:4" x14ac:dyDescent="0.3">
      <c r="D651" s="348"/>
    </row>
    <row r="652" spans="4:4" x14ac:dyDescent="0.3">
      <c r="D652" s="348"/>
    </row>
    <row r="653" spans="4:4" x14ac:dyDescent="0.3">
      <c r="D653" s="348"/>
    </row>
    <row r="654" spans="4:4" x14ac:dyDescent="0.3">
      <c r="D654" s="348"/>
    </row>
    <row r="655" spans="4:4" x14ac:dyDescent="0.3">
      <c r="D655" s="348"/>
    </row>
    <row r="656" spans="4:4" x14ac:dyDescent="0.3">
      <c r="D656" s="348"/>
    </row>
    <row r="657" spans="4:4" x14ac:dyDescent="0.3">
      <c r="D657" s="348"/>
    </row>
    <row r="658" spans="4:4" x14ac:dyDescent="0.3">
      <c r="D658" s="348"/>
    </row>
    <row r="659" spans="4:4" x14ac:dyDescent="0.3">
      <c r="D659" s="348"/>
    </row>
    <row r="660" spans="4:4" x14ac:dyDescent="0.3">
      <c r="D660" s="348"/>
    </row>
    <row r="661" spans="4:4" x14ac:dyDescent="0.3">
      <c r="D661" s="348"/>
    </row>
    <row r="662" spans="4:4" x14ac:dyDescent="0.3">
      <c r="D662" s="348"/>
    </row>
    <row r="663" spans="4:4" x14ac:dyDescent="0.3">
      <c r="D663" s="348"/>
    </row>
    <row r="664" spans="4:4" x14ac:dyDescent="0.3">
      <c r="D664" s="348"/>
    </row>
    <row r="665" spans="4:4" x14ac:dyDescent="0.3">
      <c r="D665" s="348"/>
    </row>
    <row r="666" spans="4:4" x14ac:dyDescent="0.3">
      <c r="D666" s="348"/>
    </row>
    <row r="667" spans="4:4" x14ac:dyDescent="0.3">
      <c r="D667" s="348"/>
    </row>
    <row r="668" spans="4:4" x14ac:dyDescent="0.3">
      <c r="D668" s="348"/>
    </row>
    <row r="669" spans="4:4" x14ac:dyDescent="0.3">
      <c r="D669" s="348"/>
    </row>
    <row r="670" spans="4:4" x14ac:dyDescent="0.3">
      <c r="D670" s="348"/>
    </row>
    <row r="671" spans="4:4" x14ac:dyDescent="0.3">
      <c r="D671" s="348"/>
    </row>
    <row r="672" spans="4:4" x14ac:dyDescent="0.3">
      <c r="D672" s="348"/>
    </row>
    <row r="673" spans="4:4" x14ac:dyDescent="0.3">
      <c r="D673" s="348"/>
    </row>
    <row r="674" spans="4:4" x14ac:dyDescent="0.3">
      <c r="D674" s="348"/>
    </row>
    <row r="675" spans="4:4" x14ac:dyDescent="0.3">
      <c r="D675" s="348"/>
    </row>
    <row r="676" spans="4:4" x14ac:dyDescent="0.3">
      <c r="D676" s="348"/>
    </row>
    <row r="677" spans="4:4" x14ac:dyDescent="0.3">
      <c r="D677" s="348"/>
    </row>
    <row r="678" spans="4:4" x14ac:dyDescent="0.3">
      <c r="D678" s="348"/>
    </row>
    <row r="679" spans="4:4" x14ac:dyDescent="0.3">
      <c r="D679" s="348"/>
    </row>
    <row r="680" spans="4:4" x14ac:dyDescent="0.3">
      <c r="D680" s="348"/>
    </row>
    <row r="681" spans="4:4" x14ac:dyDescent="0.3">
      <c r="D681" s="348"/>
    </row>
    <row r="682" spans="4:4" x14ac:dyDescent="0.3">
      <c r="D682" s="348"/>
    </row>
    <row r="683" spans="4:4" x14ac:dyDescent="0.3">
      <c r="D683" s="348"/>
    </row>
    <row r="684" spans="4:4" x14ac:dyDescent="0.3">
      <c r="D684" s="348"/>
    </row>
    <row r="685" spans="4:4" x14ac:dyDescent="0.3">
      <c r="D685" s="348"/>
    </row>
    <row r="686" spans="4:4" x14ac:dyDescent="0.3">
      <c r="D686" s="348"/>
    </row>
    <row r="687" spans="4:4" x14ac:dyDescent="0.3">
      <c r="D687" s="348"/>
    </row>
    <row r="688" spans="4:4" x14ac:dyDescent="0.3">
      <c r="D688" s="348"/>
    </row>
    <row r="689" spans="4:4" x14ac:dyDescent="0.3">
      <c r="D689" s="348"/>
    </row>
    <row r="690" spans="4:4" x14ac:dyDescent="0.3">
      <c r="D690" s="348"/>
    </row>
    <row r="691" spans="4:4" x14ac:dyDescent="0.3">
      <c r="D691" s="348"/>
    </row>
    <row r="692" spans="4:4" x14ac:dyDescent="0.3">
      <c r="D692" s="348"/>
    </row>
    <row r="693" spans="4:4" x14ac:dyDescent="0.3">
      <c r="D693" s="348"/>
    </row>
    <row r="694" spans="4:4" x14ac:dyDescent="0.3">
      <c r="D694" s="348"/>
    </row>
    <row r="695" spans="4:4" x14ac:dyDescent="0.3">
      <c r="D695" s="348"/>
    </row>
    <row r="696" spans="4:4" x14ac:dyDescent="0.3">
      <c r="D696" s="348"/>
    </row>
    <row r="697" spans="4:4" x14ac:dyDescent="0.3">
      <c r="D697" s="348"/>
    </row>
    <row r="698" spans="4:4" x14ac:dyDescent="0.3">
      <c r="D698" s="348"/>
    </row>
    <row r="699" spans="4:4" x14ac:dyDescent="0.3">
      <c r="D699" s="348"/>
    </row>
    <row r="700" spans="4:4" x14ac:dyDescent="0.3">
      <c r="D700" s="348"/>
    </row>
    <row r="701" spans="4:4" x14ac:dyDescent="0.3">
      <c r="D701" s="348"/>
    </row>
    <row r="702" spans="4:4" x14ac:dyDescent="0.3">
      <c r="D702" s="348"/>
    </row>
    <row r="703" spans="4:4" x14ac:dyDescent="0.3">
      <c r="D703" s="348"/>
    </row>
    <row r="704" spans="4:4" x14ac:dyDescent="0.3">
      <c r="D704" s="348"/>
    </row>
    <row r="705" spans="4:4" x14ac:dyDescent="0.3">
      <c r="D705" s="348"/>
    </row>
    <row r="706" spans="4:4" x14ac:dyDescent="0.3">
      <c r="D706" s="348"/>
    </row>
    <row r="707" spans="4:4" x14ac:dyDescent="0.3">
      <c r="D707" s="348"/>
    </row>
    <row r="708" spans="4:4" x14ac:dyDescent="0.3">
      <c r="D708" s="348"/>
    </row>
    <row r="709" spans="4:4" x14ac:dyDescent="0.3">
      <c r="D709" s="348"/>
    </row>
    <row r="710" spans="4:4" x14ac:dyDescent="0.3">
      <c r="D710" s="348"/>
    </row>
    <row r="711" spans="4:4" x14ac:dyDescent="0.3">
      <c r="D711" s="348"/>
    </row>
    <row r="712" spans="4:4" x14ac:dyDescent="0.3">
      <c r="D712" s="348"/>
    </row>
    <row r="713" spans="4:4" x14ac:dyDescent="0.3">
      <c r="D713" s="348"/>
    </row>
    <row r="714" spans="4:4" x14ac:dyDescent="0.3">
      <c r="D714" s="348"/>
    </row>
    <row r="715" spans="4:4" x14ac:dyDescent="0.3">
      <c r="D715" s="348"/>
    </row>
    <row r="716" spans="4:4" x14ac:dyDescent="0.3">
      <c r="D716" s="348"/>
    </row>
    <row r="717" spans="4:4" x14ac:dyDescent="0.3">
      <c r="D717" s="348"/>
    </row>
    <row r="718" spans="4:4" x14ac:dyDescent="0.3">
      <c r="D718" s="348"/>
    </row>
    <row r="719" spans="4:4" x14ac:dyDescent="0.3">
      <c r="D719" s="348"/>
    </row>
    <row r="720" spans="4:4" x14ac:dyDescent="0.3">
      <c r="D720" s="348"/>
    </row>
    <row r="721" spans="4:4" x14ac:dyDescent="0.3">
      <c r="D721" s="348"/>
    </row>
    <row r="722" spans="4:4" x14ac:dyDescent="0.3">
      <c r="D722" s="348"/>
    </row>
    <row r="723" spans="4:4" x14ac:dyDescent="0.3">
      <c r="D723" s="348"/>
    </row>
    <row r="724" spans="4:4" x14ac:dyDescent="0.3">
      <c r="D724" s="348"/>
    </row>
    <row r="725" spans="4:4" x14ac:dyDescent="0.3">
      <c r="D725" s="348"/>
    </row>
    <row r="726" spans="4:4" x14ac:dyDescent="0.3">
      <c r="D726" s="348"/>
    </row>
    <row r="727" spans="4:4" x14ac:dyDescent="0.3">
      <c r="D727" s="348"/>
    </row>
    <row r="728" spans="4:4" x14ac:dyDescent="0.3">
      <c r="D728" s="348"/>
    </row>
    <row r="729" spans="4:4" x14ac:dyDescent="0.3">
      <c r="D729" s="348"/>
    </row>
    <row r="730" spans="4:4" x14ac:dyDescent="0.3">
      <c r="D730" s="348"/>
    </row>
    <row r="731" spans="4:4" x14ac:dyDescent="0.3">
      <c r="D731" s="348"/>
    </row>
    <row r="732" spans="4:4" x14ac:dyDescent="0.3">
      <c r="D732" s="348"/>
    </row>
    <row r="733" spans="4:4" x14ac:dyDescent="0.3">
      <c r="D733" s="348"/>
    </row>
    <row r="734" spans="4:4" x14ac:dyDescent="0.3">
      <c r="D734" s="348"/>
    </row>
    <row r="735" spans="4:4" x14ac:dyDescent="0.3">
      <c r="D735" s="348"/>
    </row>
    <row r="736" spans="4:4" x14ac:dyDescent="0.3">
      <c r="D736" s="348"/>
    </row>
    <row r="737" spans="4:4" x14ac:dyDescent="0.3">
      <c r="D737" s="348"/>
    </row>
    <row r="738" spans="4:4" x14ac:dyDescent="0.3">
      <c r="D738" s="348"/>
    </row>
    <row r="739" spans="4:4" x14ac:dyDescent="0.3">
      <c r="D739" s="348"/>
    </row>
    <row r="740" spans="4:4" x14ac:dyDescent="0.3">
      <c r="D740" s="348"/>
    </row>
    <row r="741" spans="4:4" x14ac:dyDescent="0.3">
      <c r="D741" s="348"/>
    </row>
    <row r="742" spans="4:4" x14ac:dyDescent="0.3">
      <c r="D742" s="348"/>
    </row>
    <row r="743" spans="4:4" x14ac:dyDescent="0.3">
      <c r="D743" s="348"/>
    </row>
    <row r="744" spans="4:4" x14ac:dyDescent="0.3">
      <c r="D744" s="348"/>
    </row>
    <row r="745" spans="4:4" x14ac:dyDescent="0.3">
      <c r="D745" s="348"/>
    </row>
    <row r="746" spans="4:4" x14ac:dyDescent="0.3">
      <c r="D746" s="348"/>
    </row>
    <row r="747" spans="4:4" x14ac:dyDescent="0.3">
      <c r="D747" s="348"/>
    </row>
    <row r="748" spans="4:4" x14ac:dyDescent="0.3">
      <c r="D748" s="348"/>
    </row>
    <row r="749" spans="4:4" x14ac:dyDescent="0.3">
      <c r="D749" s="348"/>
    </row>
    <row r="750" spans="4:4" x14ac:dyDescent="0.3">
      <c r="D750" s="348"/>
    </row>
    <row r="751" spans="4:4" x14ac:dyDescent="0.3">
      <c r="D751" s="348"/>
    </row>
    <row r="752" spans="4:4" x14ac:dyDescent="0.3">
      <c r="D752" s="348"/>
    </row>
    <row r="753" spans="4:4" x14ac:dyDescent="0.3">
      <c r="D753" s="348"/>
    </row>
    <row r="754" spans="4:4" x14ac:dyDescent="0.3">
      <c r="D754" s="348"/>
    </row>
    <row r="755" spans="4:4" x14ac:dyDescent="0.3">
      <c r="D755" s="348"/>
    </row>
    <row r="756" spans="4:4" x14ac:dyDescent="0.3">
      <c r="D756" s="348"/>
    </row>
    <row r="757" spans="4:4" x14ac:dyDescent="0.3">
      <c r="D757" s="348"/>
    </row>
    <row r="758" spans="4:4" x14ac:dyDescent="0.3">
      <c r="D758" s="348"/>
    </row>
    <row r="759" spans="4:4" x14ac:dyDescent="0.3">
      <c r="D759" s="348"/>
    </row>
    <row r="760" spans="4:4" x14ac:dyDescent="0.3">
      <c r="D760" s="348"/>
    </row>
    <row r="761" spans="4:4" x14ac:dyDescent="0.3">
      <c r="D761" s="348"/>
    </row>
    <row r="762" spans="4:4" x14ac:dyDescent="0.3">
      <c r="D762" s="348"/>
    </row>
    <row r="763" spans="4:4" x14ac:dyDescent="0.3">
      <c r="D763" s="348"/>
    </row>
    <row r="764" spans="4:4" x14ac:dyDescent="0.3">
      <c r="D764" s="348"/>
    </row>
    <row r="765" spans="4:4" x14ac:dyDescent="0.3">
      <c r="D765" s="348"/>
    </row>
    <row r="766" spans="4:4" x14ac:dyDescent="0.3">
      <c r="D766" s="348"/>
    </row>
    <row r="767" spans="4:4" x14ac:dyDescent="0.3">
      <c r="D767" s="348"/>
    </row>
    <row r="768" spans="4:4" x14ac:dyDescent="0.3">
      <c r="D768" s="348"/>
    </row>
    <row r="769" spans="4:4" x14ac:dyDescent="0.3">
      <c r="D769" s="348"/>
    </row>
    <row r="770" spans="4:4" x14ac:dyDescent="0.3">
      <c r="D770" s="348"/>
    </row>
    <row r="771" spans="4:4" x14ac:dyDescent="0.3">
      <c r="D771" s="348"/>
    </row>
    <row r="772" spans="4:4" x14ac:dyDescent="0.3">
      <c r="D772" s="348"/>
    </row>
    <row r="773" spans="4:4" x14ac:dyDescent="0.3">
      <c r="D773" s="348"/>
    </row>
    <row r="774" spans="4:4" x14ac:dyDescent="0.3">
      <c r="D774" s="348"/>
    </row>
    <row r="775" spans="4:4" x14ac:dyDescent="0.3">
      <c r="D775" s="348"/>
    </row>
    <row r="776" spans="4:4" x14ac:dyDescent="0.3">
      <c r="D776" s="348"/>
    </row>
    <row r="777" spans="4:4" x14ac:dyDescent="0.3">
      <c r="D777" s="348"/>
    </row>
    <row r="778" spans="4:4" x14ac:dyDescent="0.3">
      <c r="D778" s="348"/>
    </row>
    <row r="779" spans="4:4" x14ac:dyDescent="0.3">
      <c r="D779" s="348"/>
    </row>
    <row r="780" spans="4:4" x14ac:dyDescent="0.3">
      <c r="D780" s="348"/>
    </row>
    <row r="781" spans="4:4" x14ac:dyDescent="0.3">
      <c r="D781" s="348"/>
    </row>
    <row r="782" spans="4:4" x14ac:dyDescent="0.3">
      <c r="D782" s="348"/>
    </row>
    <row r="783" spans="4:4" x14ac:dyDescent="0.3">
      <c r="D783" s="348"/>
    </row>
    <row r="784" spans="4:4" x14ac:dyDescent="0.3">
      <c r="D784" s="348"/>
    </row>
    <row r="785" spans="4:4" x14ac:dyDescent="0.3">
      <c r="D785" s="348"/>
    </row>
    <row r="786" spans="4:4" x14ac:dyDescent="0.3">
      <c r="D786" s="348"/>
    </row>
    <row r="787" spans="4:4" x14ac:dyDescent="0.3">
      <c r="D787" s="348"/>
    </row>
    <row r="788" spans="4:4" x14ac:dyDescent="0.3">
      <c r="D788" s="348"/>
    </row>
    <row r="789" spans="4:4" x14ac:dyDescent="0.3">
      <c r="D789" s="348"/>
    </row>
    <row r="790" spans="4:4" x14ac:dyDescent="0.3">
      <c r="D790" s="348"/>
    </row>
    <row r="791" spans="4:4" x14ac:dyDescent="0.3">
      <c r="D791" s="348"/>
    </row>
    <row r="792" spans="4:4" x14ac:dyDescent="0.3">
      <c r="D792" s="348"/>
    </row>
    <row r="793" spans="4:4" x14ac:dyDescent="0.3">
      <c r="D793" s="348"/>
    </row>
    <row r="794" spans="4:4" x14ac:dyDescent="0.3">
      <c r="D794" s="348"/>
    </row>
    <row r="795" spans="4:4" x14ac:dyDescent="0.3">
      <c r="D795" s="348"/>
    </row>
    <row r="796" spans="4:4" x14ac:dyDescent="0.3">
      <c r="D796" s="348"/>
    </row>
    <row r="797" spans="4:4" x14ac:dyDescent="0.3">
      <c r="D797" s="348"/>
    </row>
    <row r="798" spans="4:4" x14ac:dyDescent="0.3">
      <c r="D798" s="348"/>
    </row>
    <row r="799" spans="4:4" x14ac:dyDescent="0.3">
      <c r="D799" s="348"/>
    </row>
    <row r="800" spans="4:4" x14ac:dyDescent="0.3">
      <c r="D800" s="348"/>
    </row>
    <row r="801" spans="4:4" x14ac:dyDescent="0.3">
      <c r="D801" s="348"/>
    </row>
    <row r="802" spans="4:4" x14ac:dyDescent="0.3">
      <c r="D802" s="348"/>
    </row>
    <row r="803" spans="4:4" x14ac:dyDescent="0.3">
      <c r="D803" s="348"/>
    </row>
    <row r="804" spans="4:4" x14ac:dyDescent="0.3">
      <c r="D804" s="348"/>
    </row>
    <row r="805" spans="4:4" x14ac:dyDescent="0.3">
      <c r="D805" s="348"/>
    </row>
    <row r="806" spans="4:4" x14ac:dyDescent="0.3">
      <c r="D806" s="348"/>
    </row>
    <row r="807" spans="4:4" x14ac:dyDescent="0.3">
      <c r="D807" s="348"/>
    </row>
    <row r="808" spans="4:4" x14ac:dyDescent="0.3">
      <c r="D808" s="348"/>
    </row>
    <row r="809" spans="4:4" x14ac:dyDescent="0.3">
      <c r="D809" s="348"/>
    </row>
    <row r="810" spans="4:4" x14ac:dyDescent="0.3">
      <c r="D810" s="348"/>
    </row>
    <row r="811" spans="4:4" x14ac:dyDescent="0.3">
      <c r="D811" s="348"/>
    </row>
    <row r="812" spans="4:4" x14ac:dyDescent="0.3">
      <c r="D812" s="348"/>
    </row>
    <row r="813" spans="4:4" x14ac:dyDescent="0.3">
      <c r="D813" s="348"/>
    </row>
    <row r="814" spans="4:4" x14ac:dyDescent="0.3">
      <c r="D814" s="348"/>
    </row>
    <row r="815" spans="4:4" x14ac:dyDescent="0.3">
      <c r="D815" s="348"/>
    </row>
    <row r="816" spans="4:4" x14ac:dyDescent="0.3">
      <c r="D816" s="348"/>
    </row>
    <row r="817" spans="4:4" x14ac:dyDescent="0.3">
      <c r="D817" s="348"/>
    </row>
    <row r="818" spans="4:4" x14ac:dyDescent="0.3">
      <c r="D818" s="348"/>
    </row>
    <row r="819" spans="4:4" x14ac:dyDescent="0.3">
      <c r="D819" s="348"/>
    </row>
    <row r="820" spans="4:4" x14ac:dyDescent="0.3">
      <c r="D820" s="348"/>
    </row>
    <row r="821" spans="4:4" x14ac:dyDescent="0.3">
      <c r="D821" s="348"/>
    </row>
    <row r="822" spans="4:4" x14ac:dyDescent="0.3">
      <c r="D822" s="348"/>
    </row>
    <row r="823" spans="4:4" x14ac:dyDescent="0.3">
      <c r="D823" s="348"/>
    </row>
    <row r="824" spans="4:4" x14ac:dyDescent="0.3">
      <c r="D824" s="348"/>
    </row>
    <row r="825" spans="4:4" x14ac:dyDescent="0.3">
      <c r="D825" s="348"/>
    </row>
    <row r="826" spans="4:4" x14ac:dyDescent="0.3">
      <c r="D826" s="348"/>
    </row>
    <row r="827" spans="4:4" x14ac:dyDescent="0.3">
      <c r="D827" s="348"/>
    </row>
    <row r="828" spans="4:4" x14ac:dyDescent="0.3">
      <c r="D828" s="348"/>
    </row>
    <row r="829" spans="4:4" x14ac:dyDescent="0.3">
      <c r="D829" s="348"/>
    </row>
    <row r="830" spans="4:4" x14ac:dyDescent="0.3">
      <c r="D830" s="348"/>
    </row>
    <row r="831" spans="4:4" x14ac:dyDescent="0.3">
      <c r="D831" s="348"/>
    </row>
    <row r="832" spans="4:4" x14ac:dyDescent="0.3">
      <c r="D832" s="348"/>
    </row>
    <row r="833" spans="4:4" x14ac:dyDescent="0.3">
      <c r="D833" s="348"/>
    </row>
    <row r="834" spans="4:4" x14ac:dyDescent="0.3">
      <c r="D834" s="348"/>
    </row>
    <row r="835" spans="4:4" x14ac:dyDescent="0.3">
      <c r="D835" s="348"/>
    </row>
    <row r="836" spans="4:4" x14ac:dyDescent="0.3">
      <c r="D836" s="348"/>
    </row>
    <row r="837" spans="4:4" x14ac:dyDescent="0.3">
      <c r="D837" s="348"/>
    </row>
    <row r="838" spans="4:4" x14ac:dyDescent="0.3">
      <c r="D838" s="348"/>
    </row>
    <row r="839" spans="4:4" x14ac:dyDescent="0.3">
      <c r="D839" s="348"/>
    </row>
    <row r="840" spans="4:4" x14ac:dyDescent="0.3">
      <c r="D840" s="348"/>
    </row>
    <row r="841" spans="4:4" x14ac:dyDescent="0.3">
      <c r="D841" s="348"/>
    </row>
    <row r="842" spans="4:4" x14ac:dyDescent="0.3">
      <c r="D842" s="348"/>
    </row>
    <row r="843" spans="4:4" x14ac:dyDescent="0.3">
      <c r="D843" s="348"/>
    </row>
    <row r="844" spans="4:4" x14ac:dyDescent="0.3">
      <c r="D844" s="348"/>
    </row>
    <row r="845" spans="4:4" x14ac:dyDescent="0.3">
      <c r="D845" s="348"/>
    </row>
    <row r="846" spans="4:4" x14ac:dyDescent="0.3">
      <c r="D846" s="348"/>
    </row>
    <row r="847" spans="4:4" x14ac:dyDescent="0.3">
      <c r="D847" s="348"/>
    </row>
    <row r="848" spans="4:4" x14ac:dyDescent="0.3">
      <c r="D848" s="348"/>
    </row>
    <row r="849" spans="4:4" x14ac:dyDescent="0.3">
      <c r="D849" s="348"/>
    </row>
    <row r="850" spans="4:4" x14ac:dyDescent="0.3">
      <c r="D850" s="348"/>
    </row>
    <row r="851" spans="4:4" x14ac:dyDescent="0.3">
      <c r="D851" s="348"/>
    </row>
    <row r="852" spans="4:4" x14ac:dyDescent="0.3">
      <c r="D852" s="348"/>
    </row>
    <row r="853" spans="4:4" x14ac:dyDescent="0.3">
      <c r="D853" s="348"/>
    </row>
    <row r="854" spans="4:4" x14ac:dyDescent="0.3">
      <c r="D854" s="348"/>
    </row>
    <row r="855" spans="4:4" x14ac:dyDescent="0.3">
      <c r="D855" s="348"/>
    </row>
    <row r="856" spans="4:4" x14ac:dyDescent="0.3">
      <c r="D856" s="348"/>
    </row>
    <row r="857" spans="4:4" x14ac:dyDescent="0.3">
      <c r="D857" s="348"/>
    </row>
    <row r="858" spans="4:4" x14ac:dyDescent="0.3">
      <c r="D858" s="348"/>
    </row>
    <row r="859" spans="4:4" x14ac:dyDescent="0.3">
      <c r="D859" s="348"/>
    </row>
    <row r="860" spans="4:4" x14ac:dyDescent="0.3">
      <c r="D860" s="348"/>
    </row>
    <row r="861" spans="4:4" x14ac:dyDescent="0.3">
      <c r="D861" s="348"/>
    </row>
    <row r="862" spans="4:4" x14ac:dyDescent="0.3">
      <c r="D862" s="348"/>
    </row>
    <row r="863" spans="4:4" x14ac:dyDescent="0.3">
      <c r="D863" s="348"/>
    </row>
    <row r="864" spans="4:4" x14ac:dyDescent="0.3">
      <c r="D864" s="348"/>
    </row>
    <row r="865" spans="4:4" x14ac:dyDescent="0.3">
      <c r="D865" s="348"/>
    </row>
    <row r="866" spans="4:4" x14ac:dyDescent="0.3">
      <c r="D866" s="348"/>
    </row>
    <row r="867" spans="4:4" x14ac:dyDescent="0.3">
      <c r="D867" s="348"/>
    </row>
    <row r="868" spans="4:4" x14ac:dyDescent="0.3">
      <c r="D868" s="348"/>
    </row>
    <row r="869" spans="4:4" x14ac:dyDescent="0.3">
      <c r="D869" s="348"/>
    </row>
    <row r="870" spans="4:4" x14ac:dyDescent="0.3">
      <c r="D870" s="348"/>
    </row>
    <row r="871" spans="4:4" x14ac:dyDescent="0.3">
      <c r="D871" s="348"/>
    </row>
    <row r="872" spans="4:4" x14ac:dyDescent="0.3">
      <c r="D872" s="348"/>
    </row>
    <row r="873" spans="4:4" x14ac:dyDescent="0.3">
      <c r="D873" s="348"/>
    </row>
    <row r="874" spans="4:4" x14ac:dyDescent="0.3">
      <c r="D874" s="348"/>
    </row>
    <row r="875" spans="4:4" x14ac:dyDescent="0.3">
      <c r="D875" s="348"/>
    </row>
    <row r="876" spans="4:4" x14ac:dyDescent="0.3">
      <c r="D876" s="348"/>
    </row>
    <row r="877" spans="4:4" x14ac:dyDescent="0.3">
      <c r="D877" s="348"/>
    </row>
    <row r="878" spans="4:4" x14ac:dyDescent="0.3">
      <c r="D878" s="348"/>
    </row>
    <row r="879" spans="4:4" x14ac:dyDescent="0.3">
      <c r="D879" s="348"/>
    </row>
    <row r="880" spans="4:4" x14ac:dyDescent="0.3">
      <c r="D880" s="348"/>
    </row>
    <row r="881" spans="4:4" x14ac:dyDescent="0.3">
      <c r="D881" s="348"/>
    </row>
    <row r="882" spans="4:4" x14ac:dyDescent="0.3">
      <c r="D882" s="348"/>
    </row>
    <row r="883" spans="4:4" x14ac:dyDescent="0.3">
      <c r="D883" s="348"/>
    </row>
    <row r="884" spans="4:4" x14ac:dyDescent="0.3">
      <c r="D884" s="348"/>
    </row>
    <row r="885" spans="4:4" x14ac:dyDescent="0.3">
      <c r="D885" s="348"/>
    </row>
    <row r="886" spans="4:4" x14ac:dyDescent="0.3">
      <c r="D886" s="348"/>
    </row>
    <row r="887" spans="4:4" x14ac:dyDescent="0.3">
      <c r="D887" s="348"/>
    </row>
    <row r="888" spans="4:4" x14ac:dyDescent="0.3">
      <c r="D888" s="348"/>
    </row>
    <row r="889" spans="4:4" x14ac:dyDescent="0.3">
      <c r="D889" s="348"/>
    </row>
    <row r="890" spans="4:4" x14ac:dyDescent="0.3">
      <c r="D890" s="348"/>
    </row>
    <row r="891" spans="4:4" x14ac:dyDescent="0.3">
      <c r="D891" s="348"/>
    </row>
    <row r="892" spans="4:4" x14ac:dyDescent="0.3">
      <c r="D892" s="348"/>
    </row>
    <row r="893" spans="4:4" x14ac:dyDescent="0.3">
      <c r="D893" s="348"/>
    </row>
    <row r="894" spans="4:4" x14ac:dyDescent="0.3">
      <c r="D894" s="348"/>
    </row>
    <row r="895" spans="4:4" x14ac:dyDescent="0.3">
      <c r="D895" s="348"/>
    </row>
    <row r="896" spans="4:4" x14ac:dyDescent="0.3">
      <c r="D896" s="348"/>
    </row>
    <row r="897" spans="4:4" x14ac:dyDescent="0.3">
      <c r="D897" s="348"/>
    </row>
    <row r="898" spans="4:4" x14ac:dyDescent="0.3">
      <c r="D898" s="348"/>
    </row>
    <row r="899" spans="4:4" x14ac:dyDescent="0.3">
      <c r="D899" s="348"/>
    </row>
    <row r="900" spans="4:4" x14ac:dyDescent="0.3">
      <c r="D900" s="348"/>
    </row>
    <row r="901" spans="4:4" x14ac:dyDescent="0.3">
      <c r="D901" s="348"/>
    </row>
    <row r="902" spans="4:4" x14ac:dyDescent="0.3">
      <c r="D902" s="348"/>
    </row>
    <row r="903" spans="4:4" x14ac:dyDescent="0.3">
      <c r="D903" s="348"/>
    </row>
    <row r="904" spans="4:4" x14ac:dyDescent="0.3">
      <c r="D904" s="348"/>
    </row>
    <row r="905" spans="4:4" x14ac:dyDescent="0.3">
      <c r="D905" s="348"/>
    </row>
    <row r="906" spans="4:4" x14ac:dyDescent="0.3">
      <c r="D906" s="348"/>
    </row>
    <row r="907" spans="4:4" x14ac:dyDescent="0.3">
      <c r="D907" s="348"/>
    </row>
    <row r="908" spans="4:4" x14ac:dyDescent="0.3">
      <c r="D908" s="348"/>
    </row>
    <row r="909" spans="4:4" x14ac:dyDescent="0.3">
      <c r="D909" s="348"/>
    </row>
    <row r="910" spans="4:4" x14ac:dyDescent="0.3">
      <c r="D910" s="348"/>
    </row>
    <row r="911" spans="4:4" x14ac:dyDescent="0.3">
      <c r="D911" s="348"/>
    </row>
    <row r="912" spans="4:4" x14ac:dyDescent="0.3">
      <c r="D912" s="348"/>
    </row>
    <row r="913" spans="4:4" x14ac:dyDescent="0.3">
      <c r="D913" s="348"/>
    </row>
    <row r="914" spans="4:4" x14ac:dyDescent="0.3">
      <c r="D914" s="348"/>
    </row>
    <row r="915" spans="4:4" x14ac:dyDescent="0.3">
      <c r="D915" s="348"/>
    </row>
    <row r="916" spans="4:4" x14ac:dyDescent="0.3">
      <c r="D916" s="348"/>
    </row>
    <row r="917" spans="4:4" x14ac:dyDescent="0.3">
      <c r="D917" s="348"/>
    </row>
    <row r="918" spans="4:4" x14ac:dyDescent="0.3">
      <c r="D918" s="348"/>
    </row>
    <row r="919" spans="4:4" x14ac:dyDescent="0.3">
      <c r="D919" s="348"/>
    </row>
    <row r="920" spans="4:4" x14ac:dyDescent="0.3">
      <c r="D920" s="348"/>
    </row>
    <row r="921" spans="4:4" x14ac:dyDescent="0.3">
      <c r="D921" s="348"/>
    </row>
    <row r="922" spans="4:4" x14ac:dyDescent="0.3">
      <c r="D922" s="348"/>
    </row>
    <row r="923" spans="4:4" x14ac:dyDescent="0.3">
      <c r="D923" s="348"/>
    </row>
    <row r="924" spans="4:4" x14ac:dyDescent="0.3">
      <c r="D924" s="348"/>
    </row>
    <row r="925" spans="4:4" x14ac:dyDescent="0.3">
      <c r="D925" s="348"/>
    </row>
    <row r="926" spans="4:4" x14ac:dyDescent="0.3">
      <c r="D926" s="348"/>
    </row>
    <row r="927" spans="4:4" x14ac:dyDescent="0.3">
      <c r="D927" s="348"/>
    </row>
    <row r="928" spans="4:4" x14ac:dyDescent="0.3">
      <c r="D928" s="348"/>
    </row>
    <row r="929" spans="4:4" x14ac:dyDescent="0.3">
      <c r="D929" s="348"/>
    </row>
    <row r="930" spans="4:4" x14ac:dyDescent="0.3">
      <c r="D930" s="348"/>
    </row>
    <row r="931" spans="4:4" x14ac:dyDescent="0.3">
      <c r="D931" s="348"/>
    </row>
    <row r="932" spans="4:4" x14ac:dyDescent="0.3">
      <c r="D932" s="348"/>
    </row>
    <row r="933" spans="4:4" x14ac:dyDescent="0.3">
      <c r="D933" s="348"/>
    </row>
    <row r="934" spans="4:4" x14ac:dyDescent="0.3">
      <c r="D934" s="348"/>
    </row>
    <row r="935" spans="4:4" x14ac:dyDescent="0.3">
      <c r="D935" s="348"/>
    </row>
    <row r="936" spans="4:4" x14ac:dyDescent="0.3">
      <c r="D936" s="348"/>
    </row>
    <row r="937" spans="4:4" x14ac:dyDescent="0.3">
      <c r="D937" s="348"/>
    </row>
    <row r="938" spans="4:4" x14ac:dyDescent="0.3">
      <c r="D938" s="348"/>
    </row>
    <row r="939" spans="4:4" x14ac:dyDescent="0.3">
      <c r="D939" s="348"/>
    </row>
    <row r="940" spans="4:4" x14ac:dyDescent="0.3">
      <c r="D940" s="348"/>
    </row>
    <row r="941" spans="4:4" x14ac:dyDescent="0.3">
      <c r="D941" s="348"/>
    </row>
    <row r="942" spans="4:4" x14ac:dyDescent="0.3">
      <c r="D942" s="348"/>
    </row>
    <row r="943" spans="4:4" x14ac:dyDescent="0.3">
      <c r="D943" s="348"/>
    </row>
    <row r="944" spans="4:4" x14ac:dyDescent="0.3">
      <c r="D944" s="348"/>
    </row>
    <row r="945" spans="4:4" x14ac:dyDescent="0.3">
      <c r="D945" s="348"/>
    </row>
    <row r="946" spans="4:4" x14ac:dyDescent="0.3">
      <c r="D946" s="348"/>
    </row>
    <row r="947" spans="4:4" x14ac:dyDescent="0.3">
      <c r="D947" s="348"/>
    </row>
    <row r="948" spans="4:4" x14ac:dyDescent="0.3">
      <c r="D948" s="348"/>
    </row>
    <row r="949" spans="4:4" x14ac:dyDescent="0.3">
      <c r="D949" s="348"/>
    </row>
    <row r="950" spans="4:4" x14ac:dyDescent="0.3">
      <c r="D950" s="348"/>
    </row>
    <row r="951" spans="4:4" x14ac:dyDescent="0.3">
      <c r="D951" s="348"/>
    </row>
    <row r="952" spans="4:4" x14ac:dyDescent="0.3">
      <c r="D952" s="348"/>
    </row>
    <row r="953" spans="4:4" x14ac:dyDescent="0.3">
      <c r="D953" s="348"/>
    </row>
    <row r="954" spans="4:4" x14ac:dyDescent="0.3">
      <c r="D954" s="348"/>
    </row>
    <row r="955" spans="4:4" x14ac:dyDescent="0.3">
      <c r="D955" s="348"/>
    </row>
    <row r="956" spans="4:4" x14ac:dyDescent="0.3">
      <c r="D956" s="348"/>
    </row>
    <row r="957" spans="4:4" x14ac:dyDescent="0.3">
      <c r="D957" s="348"/>
    </row>
    <row r="958" spans="4:4" x14ac:dyDescent="0.3">
      <c r="D958" s="348"/>
    </row>
    <row r="959" spans="4:4" x14ac:dyDescent="0.3">
      <c r="D959" s="348"/>
    </row>
    <row r="960" spans="4:4" x14ac:dyDescent="0.3">
      <c r="D960" s="348"/>
    </row>
    <row r="961" spans="4:4" x14ac:dyDescent="0.3">
      <c r="D961" s="348"/>
    </row>
    <row r="962" spans="4:4" x14ac:dyDescent="0.3">
      <c r="D962" s="348"/>
    </row>
    <row r="963" spans="4:4" x14ac:dyDescent="0.3">
      <c r="D963" s="348"/>
    </row>
    <row r="964" spans="4:4" x14ac:dyDescent="0.3">
      <c r="D964" s="348"/>
    </row>
    <row r="965" spans="4:4" x14ac:dyDescent="0.3">
      <c r="D965" s="348"/>
    </row>
    <row r="966" spans="4:4" x14ac:dyDescent="0.3">
      <c r="D966" s="348"/>
    </row>
    <row r="967" spans="4:4" x14ac:dyDescent="0.3">
      <c r="D967" s="348"/>
    </row>
    <row r="968" spans="4:4" x14ac:dyDescent="0.3">
      <c r="D968" s="348"/>
    </row>
    <row r="969" spans="4:4" x14ac:dyDescent="0.3">
      <c r="D969" s="348"/>
    </row>
    <row r="970" spans="4:4" x14ac:dyDescent="0.3">
      <c r="D970" s="348"/>
    </row>
    <row r="971" spans="4:4" x14ac:dyDescent="0.3">
      <c r="D971" s="348"/>
    </row>
    <row r="972" spans="4:4" x14ac:dyDescent="0.3">
      <c r="D972" s="348"/>
    </row>
    <row r="973" spans="4:4" x14ac:dyDescent="0.3">
      <c r="D973" s="348"/>
    </row>
    <row r="974" spans="4:4" x14ac:dyDescent="0.3">
      <c r="D974" s="348"/>
    </row>
    <row r="975" spans="4:4" x14ac:dyDescent="0.3">
      <c r="D975" s="348"/>
    </row>
    <row r="976" spans="4:4" x14ac:dyDescent="0.3">
      <c r="D976" s="348"/>
    </row>
    <row r="977" spans="4:4" x14ac:dyDescent="0.3">
      <c r="D977" s="348"/>
    </row>
    <row r="978" spans="4:4" x14ac:dyDescent="0.3">
      <c r="D978" s="348"/>
    </row>
    <row r="979" spans="4:4" x14ac:dyDescent="0.3">
      <c r="D979" s="348"/>
    </row>
    <row r="980" spans="4:4" x14ac:dyDescent="0.3">
      <c r="D980" s="348"/>
    </row>
    <row r="981" spans="4:4" x14ac:dyDescent="0.3">
      <c r="D981" s="348"/>
    </row>
    <row r="982" spans="4:4" x14ac:dyDescent="0.3">
      <c r="D982" s="348"/>
    </row>
    <row r="983" spans="4:4" x14ac:dyDescent="0.3">
      <c r="D983" s="348"/>
    </row>
    <row r="984" spans="4:4" x14ac:dyDescent="0.3">
      <c r="D984" s="348"/>
    </row>
    <row r="985" spans="4:4" x14ac:dyDescent="0.3">
      <c r="D985" s="348"/>
    </row>
    <row r="986" spans="4:4" x14ac:dyDescent="0.3">
      <c r="D986" s="348"/>
    </row>
    <row r="987" spans="4:4" x14ac:dyDescent="0.3">
      <c r="D987" s="348"/>
    </row>
    <row r="988" spans="4:4" x14ac:dyDescent="0.3">
      <c r="D988" s="348"/>
    </row>
    <row r="989" spans="4:4" x14ac:dyDescent="0.3">
      <c r="D989" s="348"/>
    </row>
    <row r="990" spans="4:4" x14ac:dyDescent="0.3">
      <c r="D990" s="348"/>
    </row>
    <row r="991" spans="4:4" x14ac:dyDescent="0.3">
      <c r="D991" s="348"/>
    </row>
    <row r="992" spans="4:4" x14ac:dyDescent="0.3">
      <c r="D992" s="348"/>
    </row>
    <row r="993" spans="4:4" x14ac:dyDescent="0.3">
      <c r="D993" s="348"/>
    </row>
    <row r="994" spans="4:4" x14ac:dyDescent="0.3">
      <c r="D994" s="348"/>
    </row>
    <row r="995" spans="4:4" x14ac:dyDescent="0.3">
      <c r="D995" s="348"/>
    </row>
    <row r="996" spans="4:4" x14ac:dyDescent="0.3">
      <c r="D996" s="348"/>
    </row>
    <row r="997" spans="4:4" x14ac:dyDescent="0.3">
      <c r="D997" s="348"/>
    </row>
    <row r="998" spans="4:4" x14ac:dyDescent="0.3">
      <c r="D998" s="348"/>
    </row>
    <row r="999" spans="4:4" x14ac:dyDescent="0.3">
      <c r="D999" s="348"/>
    </row>
    <row r="1000" spans="4:4" x14ac:dyDescent="0.3">
      <c r="D1000" s="348"/>
    </row>
    <row r="1001" spans="4:4" x14ac:dyDescent="0.3">
      <c r="D1001" s="348"/>
    </row>
    <row r="1002" spans="4:4" x14ac:dyDescent="0.3">
      <c r="D1002" s="348"/>
    </row>
    <row r="1003" spans="4:4" x14ac:dyDescent="0.3">
      <c r="D1003" s="348"/>
    </row>
    <row r="1004" spans="4:4" x14ac:dyDescent="0.3">
      <c r="D1004" s="348"/>
    </row>
    <row r="1005" spans="4:4" x14ac:dyDescent="0.3">
      <c r="D1005" s="348"/>
    </row>
    <row r="1006" spans="4:4" x14ac:dyDescent="0.3">
      <c r="D1006" s="348"/>
    </row>
    <row r="1007" spans="4:4" x14ac:dyDescent="0.3">
      <c r="D1007" s="348"/>
    </row>
    <row r="1008" spans="4:4" x14ac:dyDescent="0.3">
      <c r="D1008" s="348"/>
    </row>
    <row r="1009" spans="4:4" x14ac:dyDescent="0.3">
      <c r="D1009" s="348"/>
    </row>
    <row r="1010" spans="4:4" x14ac:dyDescent="0.3">
      <c r="D1010" s="348"/>
    </row>
    <row r="1011" spans="4:4" x14ac:dyDescent="0.3">
      <c r="D1011" s="348"/>
    </row>
    <row r="1012" spans="4:4" x14ac:dyDescent="0.3">
      <c r="D1012" s="348"/>
    </row>
    <row r="1013" spans="4:4" x14ac:dyDescent="0.3">
      <c r="D1013" s="348"/>
    </row>
    <row r="1014" spans="4:4" x14ac:dyDescent="0.3">
      <c r="D1014" s="348"/>
    </row>
    <row r="1015" spans="4:4" x14ac:dyDescent="0.3">
      <c r="D1015" s="348"/>
    </row>
    <row r="1016" spans="4:4" x14ac:dyDescent="0.3">
      <c r="D1016" s="348"/>
    </row>
    <row r="1017" spans="4:4" x14ac:dyDescent="0.3">
      <c r="D1017" s="348"/>
    </row>
    <row r="1018" spans="4:4" x14ac:dyDescent="0.3">
      <c r="D1018" s="348"/>
    </row>
    <row r="1019" spans="4:4" x14ac:dyDescent="0.3">
      <c r="D1019" s="348"/>
    </row>
    <row r="1020" spans="4:4" x14ac:dyDescent="0.3">
      <c r="D1020" s="348"/>
    </row>
    <row r="1021" spans="4:4" x14ac:dyDescent="0.3">
      <c r="D1021" s="348"/>
    </row>
    <row r="1022" spans="4:4" x14ac:dyDescent="0.3">
      <c r="D1022" s="348"/>
    </row>
    <row r="1023" spans="4:4" x14ac:dyDescent="0.3">
      <c r="D1023" s="348"/>
    </row>
    <row r="1024" spans="4:4" x14ac:dyDescent="0.3">
      <c r="D1024" s="348"/>
    </row>
    <row r="1025" spans="4:4" x14ac:dyDescent="0.3">
      <c r="D1025" s="348"/>
    </row>
    <row r="1026" spans="4:4" x14ac:dyDescent="0.3">
      <c r="D1026" s="348"/>
    </row>
    <row r="1027" spans="4:4" x14ac:dyDescent="0.3">
      <c r="D1027" s="348"/>
    </row>
    <row r="1028" spans="4:4" x14ac:dyDescent="0.3">
      <c r="D1028" s="348"/>
    </row>
    <row r="1029" spans="4:4" x14ac:dyDescent="0.3">
      <c r="D1029" s="348"/>
    </row>
    <row r="1030" spans="4:4" x14ac:dyDescent="0.3">
      <c r="D1030" s="348"/>
    </row>
    <row r="1031" spans="4:4" x14ac:dyDescent="0.3">
      <c r="D1031" s="348"/>
    </row>
    <row r="1032" spans="4:4" x14ac:dyDescent="0.3">
      <c r="D1032" s="348"/>
    </row>
    <row r="1033" spans="4:4" x14ac:dyDescent="0.3">
      <c r="D1033" s="348"/>
    </row>
    <row r="1034" spans="4:4" x14ac:dyDescent="0.3">
      <c r="D1034" s="348"/>
    </row>
    <row r="1035" spans="4:4" x14ac:dyDescent="0.3">
      <c r="D1035" s="348"/>
    </row>
    <row r="1036" spans="4:4" x14ac:dyDescent="0.3">
      <c r="D1036" s="348"/>
    </row>
    <row r="1037" spans="4:4" x14ac:dyDescent="0.3">
      <c r="D1037" s="348"/>
    </row>
    <row r="1038" spans="4:4" x14ac:dyDescent="0.3">
      <c r="D1038" s="348"/>
    </row>
    <row r="1039" spans="4:4" x14ac:dyDescent="0.3">
      <c r="D1039" s="348"/>
    </row>
    <row r="1040" spans="4:4" x14ac:dyDescent="0.3">
      <c r="D1040" s="348"/>
    </row>
    <row r="1041" spans="4:4" x14ac:dyDescent="0.3">
      <c r="D1041" s="348"/>
    </row>
    <row r="1042" spans="4:4" x14ac:dyDescent="0.3">
      <c r="D1042" s="348"/>
    </row>
    <row r="1043" spans="4:4" x14ac:dyDescent="0.3">
      <c r="D1043" s="348"/>
    </row>
    <row r="1044" spans="4:4" x14ac:dyDescent="0.3">
      <c r="D1044" s="348"/>
    </row>
    <row r="1045" spans="4:4" x14ac:dyDescent="0.3">
      <c r="D1045" s="348"/>
    </row>
    <row r="1046" spans="4:4" x14ac:dyDescent="0.3">
      <c r="D1046" s="348"/>
    </row>
    <row r="1047" spans="4:4" x14ac:dyDescent="0.3">
      <c r="D1047" s="348"/>
    </row>
    <row r="1048" spans="4:4" x14ac:dyDescent="0.3">
      <c r="D1048" s="348"/>
    </row>
    <row r="1049" spans="4:4" x14ac:dyDescent="0.3">
      <c r="D1049" s="348"/>
    </row>
    <row r="1050" spans="4:4" x14ac:dyDescent="0.3">
      <c r="D1050" s="348"/>
    </row>
    <row r="1051" spans="4:4" x14ac:dyDescent="0.3">
      <c r="D1051" s="348"/>
    </row>
    <row r="1052" spans="4:4" x14ac:dyDescent="0.3">
      <c r="D1052" s="348"/>
    </row>
    <row r="1053" spans="4:4" x14ac:dyDescent="0.3">
      <c r="D1053" s="348"/>
    </row>
    <row r="1054" spans="4:4" x14ac:dyDescent="0.3">
      <c r="D1054" s="348"/>
    </row>
    <row r="1055" spans="4:4" x14ac:dyDescent="0.3">
      <c r="D1055" s="348"/>
    </row>
    <row r="1056" spans="4:4" x14ac:dyDescent="0.3">
      <c r="D1056" s="348"/>
    </row>
    <row r="1057" spans="4:4" x14ac:dyDescent="0.3">
      <c r="D1057" s="348"/>
    </row>
    <row r="1058" spans="4:4" x14ac:dyDescent="0.3">
      <c r="D1058" s="348"/>
    </row>
    <row r="1059" spans="4:4" x14ac:dyDescent="0.3">
      <c r="D1059" s="348"/>
    </row>
    <row r="1060" spans="4:4" x14ac:dyDescent="0.3">
      <c r="D1060" s="348"/>
    </row>
    <row r="1061" spans="4:4" x14ac:dyDescent="0.3">
      <c r="D1061" s="348"/>
    </row>
    <row r="1062" spans="4:4" x14ac:dyDescent="0.3">
      <c r="D1062" s="348"/>
    </row>
    <row r="1063" spans="4:4" x14ac:dyDescent="0.3">
      <c r="D1063" s="348"/>
    </row>
    <row r="1064" spans="4:4" x14ac:dyDescent="0.3">
      <c r="D1064" s="348"/>
    </row>
    <row r="1065" spans="4:4" x14ac:dyDescent="0.3">
      <c r="D1065" s="348"/>
    </row>
    <row r="1066" spans="4:4" x14ac:dyDescent="0.3">
      <c r="D1066" s="348"/>
    </row>
    <row r="1067" spans="4:4" x14ac:dyDescent="0.3">
      <c r="D1067" s="348"/>
    </row>
    <row r="1068" spans="4:4" x14ac:dyDescent="0.3">
      <c r="D1068" s="348"/>
    </row>
    <row r="1069" spans="4:4" x14ac:dyDescent="0.3">
      <c r="D1069" s="348"/>
    </row>
    <row r="1070" spans="4:4" x14ac:dyDescent="0.3">
      <c r="D1070" s="348"/>
    </row>
    <row r="1071" spans="4:4" x14ac:dyDescent="0.3">
      <c r="D1071" s="348"/>
    </row>
    <row r="1072" spans="4:4" x14ac:dyDescent="0.3">
      <c r="D1072" s="348"/>
    </row>
    <row r="1073" spans="4:4" x14ac:dyDescent="0.3">
      <c r="D1073" s="348"/>
    </row>
    <row r="1074" spans="4:4" x14ac:dyDescent="0.3">
      <c r="D1074" s="348"/>
    </row>
    <row r="1075" spans="4:4" x14ac:dyDescent="0.3">
      <c r="D1075" s="348"/>
    </row>
    <row r="1076" spans="4:4" x14ac:dyDescent="0.3">
      <c r="D1076" s="348"/>
    </row>
    <row r="1077" spans="4:4" x14ac:dyDescent="0.3">
      <c r="D1077" s="348"/>
    </row>
    <row r="1078" spans="4:4" x14ac:dyDescent="0.3">
      <c r="D1078" s="348"/>
    </row>
    <row r="1079" spans="4:4" x14ac:dyDescent="0.3">
      <c r="D1079" s="348"/>
    </row>
    <row r="1080" spans="4:4" x14ac:dyDescent="0.3">
      <c r="D1080" s="348"/>
    </row>
    <row r="1081" spans="4:4" x14ac:dyDescent="0.3">
      <c r="D1081" s="348"/>
    </row>
    <row r="1082" spans="4:4" x14ac:dyDescent="0.3">
      <c r="D1082" s="348"/>
    </row>
    <row r="1083" spans="4:4" x14ac:dyDescent="0.3">
      <c r="D1083" s="348"/>
    </row>
    <row r="1084" spans="4:4" x14ac:dyDescent="0.3">
      <c r="D1084" s="348"/>
    </row>
    <row r="1085" spans="4:4" x14ac:dyDescent="0.3">
      <c r="D1085" s="348"/>
    </row>
    <row r="1086" spans="4:4" x14ac:dyDescent="0.3">
      <c r="D1086" s="348"/>
    </row>
    <row r="1087" spans="4:4" x14ac:dyDescent="0.3">
      <c r="D1087" s="348"/>
    </row>
    <row r="1088" spans="4:4" x14ac:dyDescent="0.3">
      <c r="D1088" s="348"/>
    </row>
    <row r="1089" spans="4:4" x14ac:dyDescent="0.3">
      <c r="D1089" s="348"/>
    </row>
    <row r="1090" spans="4:4" x14ac:dyDescent="0.3">
      <c r="D1090" s="348"/>
    </row>
    <row r="1091" spans="4:4" x14ac:dyDescent="0.3">
      <c r="D1091" s="348"/>
    </row>
    <row r="1092" spans="4:4" x14ac:dyDescent="0.3">
      <c r="D1092" s="348"/>
    </row>
    <row r="1093" spans="4:4" x14ac:dyDescent="0.3">
      <c r="D1093" s="348"/>
    </row>
    <row r="1094" spans="4:4" x14ac:dyDescent="0.3">
      <c r="D1094" s="348"/>
    </row>
    <row r="1095" spans="4:4" x14ac:dyDescent="0.3">
      <c r="D1095" s="348"/>
    </row>
    <row r="1096" spans="4:4" x14ac:dyDescent="0.3">
      <c r="D1096" s="348"/>
    </row>
    <row r="1097" spans="4:4" x14ac:dyDescent="0.3">
      <c r="D1097" s="348"/>
    </row>
    <row r="1098" spans="4:4" x14ac:dyDescent="0.3">
      <c r="D1098" s="348"/>
    </row>
    <row r="1099" spans="4:4" x14ac:dyDescent="0.3">
      <c r="D1099" s="348"/>
    </row>
    <row r="1100" spans="4:4" x14ac:dyDescent="0.3">
      <c r="D1100" s="348"/>
    </row>
    <row r="1101" spans="4:4" x14ac:dyDescent="0.3">
      <c r="D1101" s="348"/>
    </row>
    <row r="1102" spans="4:4" x14ac:dyDescent="0.3">
      <c r="D1102" s="348"/>
    </row>
    <row r="1103" spans="4:4" x14ac:dyDescent="0.3">
      <c r="D1103" s="348"/>
    </row>
    <row r="1104" spans="4:4" x14ac:dyDescent="0.3">
      <c r="D1104" s="348"/>
    </row>
    <row r="1105" spans="4:4" x14ac:dyDescent="0.3">
      <c r="D1105" s="348"/>
    </row>
    <row r="1106" spans="4:4" x14ac:dyDescent="0.3">
      <c r="D1106" s="348"/>
    </row>
    <row r="1107" spans="4:4" x14ac:dyDescent="0.3">
      <c r="D1107" s="348"/>
    </row>
    <row r="1108" spans="4:4" x14ac:dyDescent="0.3">
      <c r="D1108" s="348"/>
    </row>
    <row r="1109" spans="4:4" x14ac:dyDescent="0.3">
      <c r="D1109" s="348"/>
    </row>
    <row r="1110" spans="4:4" x14ac:dyDescent="0.3">
      <c r="D1110" s="348"/>
    </row>
    <row r="1111" spans="4:4" x14ac:dyDescent="0.3">
      <c r="D1111" s="348"/>
    </row>
    <row r="1112" spans="4:4" x14ac:dyDescent="0.3">
      <c r="D1112" s="348"/>
    </row>
    <row r="1113" spans="4:4" x14ac:dyDescent="0.3">
      <c r="D1113" s="348"/>
    </row>
    <row r="1114" spans="4:4" x14ac:dyDescent="0.3">
      <c r="D1114" s="348"/>
    </row>
    <row r="1115" spans="4:4" x14ac:dyDescent="0.3">
      <c r="D1115" s="348"/>
    </row>
    <row r="1116" spans="4:4" x14ac:dyDescent="0.3">
      <c r="D1116" s="348"/>
    </row>
    <row r="1117" spans="4:4" x14ac:dyDescent="0.3">
      <c r="D1117" s="348"/>
    </row>
    <row r="1118" spans="4:4" x14ac:dyDescent="0.3">
      <c r="D1118" s="348"/>
    </row>
    <row r="1119" spans="4:4" x14ac:dyDescent="0.3">
      <c r="D1119" s="348"/>
    </row>
    <row r="1120" spans="4:4" x14ac:dyDescent="0.3">
      <c r="D1120" s="348"/>
    </row>
    <row r="1121" spans="4:4" x14ac:dyDescent="0.3">
      <c r="D1121" s="348"/>
    </row>
    <row r="1122" spans="4:4" x14ac:dyDescent="0.3">
      <c r="D1122" s="348"/>
    </row>
    <row r="1123" spans="4:4" x14ac:dyDescent="0.3">
      <c r="D1123" s="348"/>
    </row>
    <row r="1124" spans="4:4" x14ac:dyDescent="0.3">
      <c r="D1124" s="348"/>
    </row>
    <row r="1125" spans="4:4" x14ac:dyDescent="0.3">
      <c r="D1125" s="348"/>
    </row>
    <row r="1126" spans="4:4" x14ac:dyDescent="0.3">
      <c r="D1126" s="348"/>
    </row>
    <row r="1127" spans="4:4" x14ac:dyDescent="0.3">
      <c r="D1127" s="348"/>
    </row>
    <row r="1128" spans="4:4" x14ac:dyDescent="0.3">
      <c r="D1128" s="348"/>
    </row>
    <row r="1129" spans="4:4" x14ac:dyDescent="0.3">
      <c r="D1129" s="348"/>
    </row>
    <row r="1130" spans="4:4" x14ac:dyDescent="0.3">
      <c r="D1130" s="348"/>
    </row>
    <row r="1131" spans="4:4" x14ac:dyDescent="0.3">
      <c r="D1131" s="348"/>
    </row>
    <row r="1132" spans="4:4" x14ac:dyDescent="0.3">
      <c r="D1132" s="348"/>
    </row>
    <row r="1133" spans="4:4" x14ac:dyDescent="0.3">
      <c r="D1133" s="348"/>
    </row>
    <row r="1134" spans="4:4" x14ac:dyDescent="0.3">
      <c r="D1134" s="348"/>
    </row>
    <row r="1135" spans="4:4" x14ac:dyDescent="0.3">
      <c r="D1135" s="348"/>
    </row>
    <row r="1136" spans="4:4" x14ac:dyDescent="0.3">
      <c r="D1136" s="348"/>
    </row>
    <row r="1137" spans="4:4" x14ac:dyDescent="0.3">
      <c r="D1137" s="348"/>
    </row>
    <row r="1138" spans="4:4" x14ac:dyDescent="0.3">
      <c r="D1138" s="348"/>
    </row>
    <row r="1139" spans="4:4" x14ac:dyDescent="0.3">
      <c r="D1139" s="348"/>
    </row>
    <row r="1140" spans="4:4" x14ac:dyDescent="0.3">
      <c r="D1140" s="348"/>
    </row>
    <row r="1141" spans="4:4" x14ac:dyDescent="0.3">
      <c r="D1141" s="348"/>
    </row>
    <row r="1142" spans="4:4" x14ac:dyDescent="0.3">
      <c r="D1142" s="348"/>
    </row>
    <row r="1143" spans="4:4" x14ac:dyDescent="0.3">
      <c r="D1143" s="348"/>
    </row>
    <row r="1144" spans="4:4" x14ac:dyDescent="0.3">
      <c r="D1144" s="348"/>
    </row>
    <row r="1145" spans="4:4" x14ac:dyDescent="0.3">
      <c r="D1145" s="348"/>
    </row>
    <row r="1146" spans="4:4" x14ac:dyDescent="0.3">
      <c r="D1146" s="348"/>
    </row>
    <row r="1147" spans="4:4" x14ac:dyDescent="0.3">
      <c r="D1147" s="348"/>
    </row>
    <row r="1148" spans="4:4" x14ac:dyDescent="0.3">
      <c r="D1148" s="348"/>
    </row>
    <row r="1149" spans="4:4" x14ac:dyDescent="0.3">
      <c r="D1149" s="348"/>
    </row>
    <row r="1150" spans="4:4" x14ac:dyDescent="0.3">
      <c r="D1150" s="348"/>
    </row>
    <row r="1151" spans="4:4" x14ac:dyDescent="0.3">
      <c r="D1151" s="348"/>
    </row>
    <row r="1152" spans="4:4" x14ac:dyDescent="0.3">
      <c r="D1152" s="348"/>
    </row>
    <row r="1153" spans="4:4" x14ac:dyDescent="0.3">
      <c r="D1153" s="348"/>
    </row>
    <row r="1154" spans="4:4" x14ac:dyDescent="0.3">
      <c r="D1154" s="348"/>
    </row>
    <row r="1155" spans="4:4" x14ac:dyDescent="0.3">
      <c r="D1155" s="348"/>
    </row>
    <row r="1156" spans="4:4" x14ac:dyDescent="0.3">
      <c r="D1156" s="348"/>
    </row>
    <row r="1157" spans="4:4" x14ac:dyDescent="0.3">
      <c r="D1157" s="348"/>
    </row>
    <row r="1158" spans="4:4" x14ac:dyDescent="0.3">
      <c r="D1158" s="348"/>
    </row>
    <row r="1159" spans="4:4" x14ac:dyDescent="0.3">
      <c r="D1159" s="348"/>
    </row>
    <row r="1160" spans="4:4" x14ac:dyDescent="0.3">
      <c r="D1160" s="348"/>
    </row>
    <row r="1161" spans="4:4" x14ac:dyDescent="0.3">
      <c r="D1161" s="348"/>
    </row>
    <row r="1162" spans="4:4" x14ac:dyDescent="0.3">
      <c r="D1162" s="348"/>
    </row>
    <row r="1163" spans="4:4" x14ac:dyDescent="0.3">
      <c r="D1163" s="348"/>
    </row>
    <row r="1164" spans="4:4" x14ac:dyDescent="0.3">
      <c r="D1164" s="348"/>
    </row>
    <row r="1165" spans="4:4" x14ac:dyDescent="0.3">
      <c r="D1165" s="348"/>
    </row>
    <row r="1166" spans="4:4" x14ac:dyDescent="0.3">
      <c r="D1166" s="348"/>
    </row>
    <row r="1167" spans="4:4" x14ac:dyDescent="0.3">
      <c r="D1167" s="348"/>
    </row>
    <row r="1168" spans="4:4" x14ac:dyDescent="0.3">
      <c r="D1168" s="348"/>
    </row>
    <row r="1169" spans="4:4" x14ac:dyDescent="0.3">
      <c r="D1169" s="348"/>
    </row>
    <row r="1170" spans="4:4" x14ac:dyDescent="0.3">
      <c r="D1170" s="348"/>
    </row>
    <row r="1171" spans="4:4" x14ac:dyDescent="0.3">
      <c r="D1171" s="348"/>
    </row>
    <row r="1172" spans="4:4" x14ac:dyDescent="0.3">
      <c r="D1172" s="348"/>
    </row>
    <row r="1173" spans="4:4" x14ac:dyDescent="0.3">
      <c r="D1173" s="348"/>
    </row>
    <row r="1174" spans="4:4" x14ac:dyDescent="0.3">
      <c r="D1174" s="348"/>
    </row>
    <row r="1175" spans="4:4" x14ac:dyDescent="0.3">
      <c r="D1175" s="348"/>
    </row>
    <row r="1176" spans="4:4" x14ac:dyDescent="0.3">
      <c r="D1176" s="348"/>
    </row>
    <row r="1177" spans="4:4" x14ac:dyDescent="0.3">
      <c r="D1177" s="348"/>
    </row>
    <row r="1178" spans="4:4" x14ac:dyDescent="0.3">
      <c r="D1178" s="348"/>
    </row>
    <row r="1179" spans="4:4" x14ac:dyDescent="0.3">
      <c r="D1179" s="348"/>
    </row>
    <row r="1180" spans="4:4" x14ac:dyDescent="0.3">
      <c r="D1180" s="348"/>
    </row>
    <row r="1181" spans="4:4" x14ac:dyDescent="0.3">
      <c r="D1181" s="348"/>
    </row>
    <row r="1182" spans="4:4" x14ac:dyDescent="0.3">
      <c r="D1182" s="348"/>
    </row>
    <row r="1183" spans="4:4" x14ac:dyDescent="0.3">
      <c r="D1183" s="348"/>
    </row>
    <row r="1184" spans="4:4" x14ac:dyDescent="0.3">
      <c r="D1184" s="348"/>
    </row>
    <row r="1185" spans="4:4" x14ac:dyDescent="0.3">
      <c r="D1185" s="348"/>
    </row>
    <row r="1186" spans="4:4" x14ac:dyDescent="0.3">
      <c r="D1186" s="348"/>
    </row>
    <row r="1187" spans="4:4" x14ac:dyDescent="0.3">
      <c r="D1187" s="348"/>
    </row>
    <row r="1188" spans="4:4" x14ac:dyDescent="0.3">
      <c r="D1188" s="348"/>
    </row>
    <row r="1189" spans="4:4" x14ac:dyDescent="0.3">
      <c r="D1189" s="348"/>
    </row>
    <row r="1190" spans="4:4" x14ac:dyDescent="0.3">
      <c r="D1190" s="348"/>
    </row>
    <row r="1191" spans="4:4" x14ac:dyDescent="0.3">
      <c r="D1191" s="348"/>
    </row>
    <row r="1192" spans="4:4" x14ac:dyDescent="0.3">
      <c r="D1192" s="348"/>
    </row>
    <row r="1193" spans="4:4" x14ac:dyDescent="0.3">
      <c r="D1193" s="348"/>
    </row>
    <row r="1194" spans="4:4" x14ac:dyDescent="0.3">
      <c r="D1194" s="348"/>
    </row>
    <row r="1195" spans="4:4" x14ac:dyDescent="0.3">
      <c r="D1195" s="348"/>
    </row>
    <row r="1196" spans="4:4" x14ac:dyDescent="0.3">
      <c r="D1196" s="348"/>
    </row>
    <row r="1197" spans="4:4" x14ac:dyDescent="0.3">
      <c r="D1197" s="348"/>
    </row>
    <row r="1198" spans="4:4" x14ac:dyDescent="0.3">
      <c r="D1198" s="348"/>
    </row>
    <row r="1199" spans="4:4" x14ac:dyDescent="0.3">
      <c r="D1199" s="348"/>
    </row>
    <row r="1200" spans="4:4" x14ac:dyDescent="0.3">
      <c r="D1200" s="348"/>
    </row>
    <row r="1201" spans="4:4" x14ac:dyDescent="0.3">
      <c r="D1201" s="348"/>
    </row>
    <row r="1202" spans="4:4" x14ac:dyDescent="0.3">
      <c r="D1202" s="348"/>
    </row>
    <row r="1203" spans="4:4" x14ac:dyDescent="0.3">
      <c r="D1203" s="348"/>
    </row>
    <row r="1204" spans="4:4" x14ac:dyDescent="0.3">
      <c r="D1204" s="348"/>
    </row>
    <row r="1205" spans="4:4" x14ac:dyDescent="0.3">
      <c r="D1205" s="348"/>
    </row>
    <row r="1206" spans="4:4" x14ac:dyDescent="0.3">
      <c r="D1206" s="348"/>
    </row>
    <row r="1207" spans="4:4" x14ac:dyDescent="0.3">
      <c r="D1207" s="348"/>
    </row>
    <row r="1208" spans="4:4" x14ac:dyDescent="0.3">
      <c r="D1208" s="348"/>
    </row>
    <row r="1209" spans="4:4" x14ac:dyDescent="0.3">
      <c r="D1209" s="348"/>
    </row>
    <row r="1210" spans="4:4" x14ac:dyDescent="0.3">
      <c r="D1210" s="348"/>
    </row>
    <row r="1211" spans="4:4" x14ac:dyDescent="0.3">
      <c r="D1211" s="348"/>
    </row>
    <row r="1212" spans="4:4" x14ac:dyDescent="0.3">
      <c r="D1212" s="348"/>
    </row>
    <row r="1213" spans="4:4" x14ac:dyDescent="0.3">
      <c r="D1213" s="348"/>
    </row>
    <row r="1214" spans="4:4" x14ac:dyDescent="0.3">
      <c r="D1214" s="348"/>
    </row>
    <row r="1215" spans="4:4" x14ac:dyDescent="0.3">
      <c r="D1215" s="348"/>
    </row>
    <row r="1216" spans="4:4" x14ac:dyDescent="0.3">
      <c r="D1216" s="348"/>
    </row>
    <row r="1217" spans="4:4" x14ac:dyDescent="0.3">
      <c r="D1217" s="348"/>
    </row>
    <row r="1218" spans="4:4" x14ac:dyDescent="0.3">
      <c r="D1218" s="348"/>
    </row>
    <row r="1219" spans="4:4" x14ac:dyDescent="0.3">
      <c r="D1219" s="348"/>
    </row>
    <row r="1220" spans="4:4" x14ac:dyDescent="0.3">
      <c r="D1220" s="348"/>
    </row>
    <row r="1221" spans="4:4" x14ac:dyDescent="0.3">
      <c r="D1221" s="348"/>
    </row>
    <row r="1222" spans="4:4" x14ac:dyDescent="0.3">
      <c r="D1222" s="348"/>
    </row>
    <row r="1223" spans="4:4" x14ac:dyDescent="0.3">
      <c r="D1223" s="348"/>
    </row>
    <row r="1224" spans="4:4" x14ac:dyDescent="0.3">
      <c r="D1224" s="348"/>
    </row>
    <row r="1225" spans="4:4" x14ac:dyDescent="0.3">
      <c r="D1225" s="348"/>
    </row>
    <row r="1226" spans="4:4" x14ac:dyDescent="0.3">
      <c r="D1226" s="348"/>
    </row>
    <row r="1227" spans="4:4" x14ac:dyDescent="0.3">
      <c r="D1227" s="348"/>
    </row>
    <row r="1228" spans="4:4" x14ac:dyDescent="0.3">
      <c r="D1228" s="348"/>
    </row>
    <row r="1229" spans="4:4" x14ac:dyDescent="0.3">
      <c r="D1229" s="348"/>
    </row>
    <row r="1230" spans="4:4" x14ac:dyDescent="0.3">
      <c r="D1230" s="348"/>
    </row>
    <row r="1231" spans="4:4" x14ac:dyDescent="0.3">
      <c r="D1231" s="348"/>
    </row>
    <row r="1232" spans="4:4" x14ac:dyDescent="0.3">
      <c r="D1232" s="348"/>
    </row>
    <row r="1233" spans="4:4" x14ac:dyDescent="0.3">
      <c r="D1233" s="348"/>
    </row>
    <row r="1234" spans="4:4" x14ac:dyDescent="0.3">
      <c r="D1234" s="348"/>
    </row>
    <row r="1235" spans="4:4" x14ac:dyDescent="0.3">
      <c r="D1235" s="348"/>
    </row>
    <row r="1236" spans="4:4" x14ac:dyDescent="0.3">
      <c r="D1236" s="348"/>
    </row>
    <row r="1237" spans="4:4" x14ac:dyDescent="0.3">
      <c r="D1237" s="348"/>
    </row>
    <row r="1238" spans="4:4" x14ac:dyDescent="0.3">
      <c r="D1238" s="348"/>
    </row>
    <row r="1239" spans="4:4" x14ac:dyDescent="0.3">
      <c r="D1239" s="348"/>
    </row>
    <row r="1240" spans="4:4" x14ac:dyDescent="0.3">
      <c r="D1240" s="348"/>
    </row>
    <row r="1241" spans="4:4" x14ac:dyDescent="0.3">
      <c r="D1241" s="348"/>
    </row>
    <row r="1242" spans="4:4" x14ac:dyDescent="0.3">
      <c r="D1242" s="348"/>
    </row>
    <row r="1243" spans="4:4" x14ac:dyDescent="0.3">
      <c r="D1243" s="348"/>
    </row>
    <row r="1244" spans="4:4" x14ac:dyDescent="0.3">
      <c r="D1244" s="348"/>
    </row>
    <row r="1245" spans="4:4" x14ac:dyDescent="0.3">
      <c r="D1245" s="348"/>
    </row>
    <row r="1246" spans="4:4" x14ac:dyDescent="0.3">
      <c r="D1246" s="348"/>
    </row>
    <row r="1247" spans="4:4" x14ac:dyDescent="0.3">
      <c r="D1247" s="348"/>
    </row>
    <row r="1248" spans="4:4" x14ac:dyDescent="0.3">
      <c r="D1248" s="348"/>
    </row>
    <row r="1249" spans="4:4" x14ac:dyDescent="0.3">
      <c r="D1249" s="348"/>
    </row>
    <row r="1250" spans="4:4" x14ac:dyDescent="0.3">
      <c r="D1250" s="348"/>
    </row>
    <row r="1251" spans="4:4" x14ac:dyDescent="0.3">
      <c r="D1251" s="348"/>
    </row>
    <row r="1252" spans="4:4" x14ac:dyDescent="0.3">
      <c r="D1252" s="348"/>
    </row>
    <row r="1253" spans="4:4" x14ac:dyDescent="0.3">
      <c r="D1253" s="348"/>
    </row>
    <row r="1254" spans="4:4" x14ac:dyDescent="0.3">
      <c r="D1254" s="348"/>
    </row>
    <row r="1255" spans="4:4" x14ac:dyDescent="0.3">
      <c r="D1255" s="348"/>
    </row>
    <row r="1256" spans="4:4" x14ac:dyDescent="0.3">
      <c r="D1256" s="348"/>
    </row>
    <row r="1257" spans="4:4" x14ac:dyDescent="0.3">
      <c r="D1257" s="348"/>
    </row>
    <row r="1258" spans="4:4" x14ac:dyDescent="0.3">
      <c r="D1258" s="348"/>
    </row>
    <row r="1259" spans="4:4" x14ac:dyDescent="0.3">
      <c r="D1259" s="348"/>
    </row>
    <row r="1260" spans="4:4" x14ac:dyDescent="0.3">
      <c r="D1260" s="348"/>
    </row>
    <row r="1261" spans="4:4" x14ac:dyDescent="0.3">
      <c r="D1261" s="348"/>
    </row>
    <row r="1262" spans="4:4" x14ac:dyDescent="0.3">
      <c r="D1262" s="348"/>
    </row>
    <row r="1263" spans="4:4" x14ac:dyDescent="0.3">
      <c r="D1263" s="348"/>
    </row>
    <row r="1264" spans="4:4" x14ac:dyDescent="0.3">
      <c r="D1264" s="348"/>
    </row>
    <row r="1265" spans="4:4" x14ac:dyDescent="0.3">
      <c r="D1265" s="348"/>
    </row>
    <row r="1266" spans="4:4" x14ac:dyDescent="0.3">
      <c r="D1266" s="348"/>
    </row>
    <row r="1267" spans="4:4" x14ac:dyDescent="0.3">
      <c r="D1267" s="348"/>
    </row>
    <row r="1268" spans="4:4" x14ac:dyDescent="0.3">
      <c r="D1268" s="348"/>
    </row>
    <row r="1269" spans="4:4" x14ac:dyDescent="0.3">
      <c r="D1269" s="348"/>
    </row>
    <row r="1270" spans="4:4" x14ac:dyDescent="0.3">
      <c r="D1270" s="348"/>
    </row>
    <row r="1271" spans="4:4" x14ac:dyDescent="0.3">
      <c r="D1271" s="348"/>
    </row>
    <row r="1272" spans="4:4" x14ac:dyDescent="0.3">
      <c r="D1272" s="348"/>
    </row>
    <row r="1273" spans="4:4" x14ac:dyDescent="0.3">
      <c r="D1273" s="348"/>
    </row>
    <row r="1274" spans="4:4" x14ac:dyDescent="0.3">
      <c r="D1274" s="348"/>
    </row>
    <row r="1275" spans="4:4" x14ac:dyDescent="0.3">
      <c r="D1275" s="348"/>
    </row>
    <row r="1276" spans="4:4" x14ac:dyDescent="0.3">
      <c r="D1276" s="348"/>
    </row>
    <row r="1277" spans="4:4" x14ac:dyDescent="0.3">
      <c r="D1277" s="348"/>
    </row>
    <row r="1278" spans="4:4" x14ac:dyDescent="0.3">
      <c r="D1278" s="348"/>
    </row>
    <row r="1279" spans="4:4" x14ac:dyDescent="0.3">
      <c r="D1279" s="348"/>
    </row>
    <row r="1280" spans="4:4" x14ac:dyDescent="0.3">
      <c r="D1280" s="348"/>
    </row>
    <row r="1281" spans="4:4" x14ac:dyDescent="0.3">
      <c r="D1281" s="348"/>
    </row>
    <row r="1282" spans="4:4" x14ac:dyDescent="0.3">
      <c r="D1282" s="348"/>
    </row>
    <row r="1283" spans="4:4" x14ac:dyDescent="0.3">
      <c r="D1283" s="348"/>
    </row>
    <row r="1284" spans="4:4" x14ac:dyDescent="0.3">
      <c r="D1284" s="348"/>
    </row>
    <row r="1285" spans="4:4" x14ac:dyDescent="0.3">
      <c r="D1285" s="348"/>
    </row>
    <row r="1286" spans="4:4" x14ac:dyDescent="0.3">
      <c r="D1286" s="348"/>
    </row>
    <row r="1287" spans="4:4" x14ac:dyDescent="0.3">
      <c r="D1287" s="348"/>
    </row>
    <row r="1288" spans="4:4" x14ac:dyDescent="0.3">
      <c r="D1288" s="348"/>
    </row>
    <row r="1289" spans="4:4" x14ac:dyDescent="0.3">
      <c r="D1289" s="348"/>
    </row>
    <row r="1290" spans="4:4" x14ac:dyDescent="0.3">
      <c r="D1290" s="348"/>
    </row>
    <row r="1291" spans="4:4" x14ac:dyDescent="0.3">
      <c r="D1291" s="348"/>
    </row>
    <row r="1292" spans="4:4" x14ac:dyDescent="0.3">
      <c r="D1292" s="348"/>
    </row>
    <row r="1293" spans="4:4" x14ac:dyDescent="0.3">
      <c r="D1293" s="348"/>
    </row>
    <row r="1294" spans="4:4" x14ac:dyDescent="0.3">
      <c r="D1294" s="348"/>
    </row>
    <row r="1295" spans="4:4" x14ac:dyDescent="0.3">
      <c r="D1295" s="348"/>
    </row>
    <row r="1296" spans="4:4" x14ac:dyDescent="0.3">
      <c r="D1296" s="348"/>
    </row>
    <row r="1297" spans="4:4" x14ac:dyDescent="0.3">
      <c r="D1297" s="348"/>
    </row>
    <row r="1298" spans="4:4" x14ac:dyDescent="0.3">
      <c r="D1298" s="348"/>
    </row>
    <row r="1299" spans="4:4" x14ac:dyDescent="0.3">
      <c r="D1299" s="348"/>
    </row>
    <row r="1300" spans="4:4" x14ac:dyDescent="0.3">
      <c r="D1300" s="348"/>
    </row>
    <row r="1301" spans="4:4" x14ac:dyDescent="0.3">
      <c r="D1301" s="348"/>
    </row>
    <row r="1302" spans="4:4" x14ac:dyDescent="0.3">
      <c r="D1302" s="348"/>
    </row>
    <row r="1303" spans="4:4" x14ac:dyDescent="0.3">
      <c r="D1303" s="348"/>
    </row>
    <row r="1304" spans="4:4" x14ac:dyDescent="0.3">
      <c r="D1304" s="348"/>
    </row>
    <row r="1305" spans="4:4" x14ac:dyDescent="0.3">
      <c r="D1305" s="348"/>
    </row>
    <row r="1306" spans="4:4" x14ac:dyDescent="0.3">
      <c r="D1306" s="348"/>
    </row>
    <row r="1307" spans="4:4" x14ac:dyDescent="0.3">
      <c r="D1307" s="348"/>
    </row>
    <row r="1308" spans="4:4" x14ac:dyDescent="0.3">
      <c r="D1308" s="348"/>
    </row>
    <row r="1309" spans="4:4" x14ac:dyDescent="0.3">
      <c r="D1309" s="348"/>
    </row>
    <row r="1310" spans="4:4" x14ac:dyDescent="0.3">
      <c r="D1310" s="348"/>
    </row>
    <row r="1311" spans="4:4" x14ac:dyDescent="0.3">
      <c r="D1311" s="348"/>
    </row>
    <row r="1312" spans="4:4" x14ac:dyDescent="0.3">
      <c r="D1312" s="348"/>
    </row>
    <row r="1313" spans="4:4" x14ac:dyDescent="0.3">
      <c r="D1313" s="348"/>
    </row>
    <row r="1314" spans="4:4" x14ac:dyDescent="0.3">
      <c r="D1314" s="348"/>
    </row>
    <row r="1315" spans="4:4" x14ac:dyDescent="0.3">
      <c r="D1315" s="348"/>
    </row>
    <row r="1316" spans="4:4" x14ac:dyDescent="0.3">
      <c r="D1316" s="348"/>
    </row>
    <row r="1317" spans="4:4" x14ac:dyDescent="0.3">
      <c r="D1317" s="348"/>
    </row>
    <row r="1318" spans="4:4" x14ac:dyDescent="0.3">
      <c r="D1318" s="348"/>
    </row>
    <row r="1319" spans="4:4" x14ac:dyDescent="0.3">
      <c r="D1319" s="348"/>
    </row>
    <row r="1320" spans="4:4" x14ac:dyDescent="0.3">
      <c r="D1320" s="348"/>
    </row>
    <row r="1321" spans="4:4" x14ac:dyDescent="0.3">
      <c r="D1321" s="348"/>
    </row>
    <row r="1322" spans="4:4" x14ac:dyDescent="0.3">
      <c r="D1322" s="348"/>
    </row>
    <row r="1323" spans="4:4" x14ac:dyDescent="0.3">
      <c r="D1323" s="348"/>
    </row>
    <row r="1324" spans="4:4" x14ac:dyDescent="0.3">
      <c r="D1324" s="348"/>
    </row>
    <row r="1325" spans="4:4" x14ac:dyDescent="0.3">
      <c r="D1325" s="348"/>
    </row>
    <row r="1326" spans="4:4" x14ac:dyDescent="0.3">
      <c r="D1326" s="348"/>
    </row>
    <row r="1327" spans="4:4" x14ac:dyDescent="0.3">
      <c r="D1327" s="348"/>
    </row>
    <row r="1328" spans="4:4" x14ac:dyDescent="0.3">
      <c r="D1328" s="348"/>
    </row>
    <row r="1329" spans="4:4" x14ac:dyDescent="0.3">
      <c r="D1329" s="348"/>
    </row>
    <row r="1330" spans="4:4" x14ac:dyDescent="0.3">
      <c r="D1330" s="348"/>
    </row>
    <row r="1331" spans="4:4" x14ac:dyDescent="0.3">
      <c r="D1331" s="348"/>
    </row>
    <row r="1332" spans="4:4" x14ac:dyDescent="0.3">
      <c r="D1332" s="348"/>
    </row>
    <row r="1333" spans="4:4" x14ac:dyDescent="0.3">
      <c r="D1333" s="348"/>
    </row>
    <row r="1334" spans="4:4" x14ac:dyDescent="0.3">
      <c r="D1334" s="348"/>
    </row>
    <row r="1335" spans="4:4" x14ac:dyDescent="0.3">
      <c r="D1335" s="348"/>
    </row>
    <row r="1336" spans="4:4" x14ac:dyDescent="0.3">
      <c r="D1336" s="348"/>
    </row>
    <row r="1337" spans="4:4" x14ac:dyDescent="0.3">
      <c r="D1337" s="348"/>
    </row>
    <row r="1338" spans="4:4" x14ac:dyDescent="0.3">
      <c r="D1338" s="348"/>
    </row>
    <row r="1339" spans="4:4" x14ac:dyDescent="0.3">
      <c r="D1339" s="348"/>
    </row>
    <row r="1340" spans="4:4" x14ac:dyDescent="0.3">
      <c r="D1340" s="348"/>
    </row>
    <row r="1341" spans="4:4" x14ac:dyDescent="0.3">
      <c r="D1341" s="348"/>
    </row>
    <row r="1342" spans="4:4" x14ac:dyDescent="0.3">
      <c r="D1342" s="348"/>
    </row>
    <row r="1343" spans="4:4" x14ac:dyDescent="0.3">
      <c r="D1343" s="348"/>
    </row>
    <row r="1344" spans="4:4" x14ac:dyDescent="0.3">
      <c r="D1344" s="348"/>
    </row>
    <row r="1345" spans="4:4" x14ac:dyDescent="0.3">
      <c r="D1345" s="348"/>
    </row>
    <row r="1346" spans="4:4" x14ac:dyDescent="0.3">
      <c r="D1346" s="348"/>
    </row>
    <row r="1347" spans="4:4" x14ac:dyDescent="0.3">
      <c r="D1347" s="348"/>
    </row>
    <row r="1348" spans="4:4" x14ac:dyDescent="0.3">
      <c r="D1348" s="348"/>
    </row>
    <row r="1349" spans="4:4" x14ac:dyDescent="0.3">
      <c r="D1349" s="348"/>
    </row>
    <row r="1350" spans="4:4" x14ac:dyDescent="0.3">
      <c r="D1350" s="348"/>
    </row>
    <row r="1351" spans="4:4" x14ac:dyDescent="0.3">
      <c r="D1351" s="348"/>
    </row>
    <row r="1352" spans="4:4" x14ac:dyDescent="0.3">
      <c r="D1352" s="348"/>
    </row>
    <row r="1353" spans="4:4" x14ac:dyDescent="0.3">
      <c r="D1353" s="348"/>
    </row>
    <row r="1354" spans="4:4" x14ac:dyDescent="0.3">
      <c r="D1354" s="348"/>
    </row>
    <row r="1355" spans="4:4" x14ac:dyDescent="0.3">
      <c r="D1355" s="348"/>
    </row>
    <row r="1356" spans="4:4" x14ac:dyDescent="0.3">
      <c r="D1356" s="348"/>
    </row>
    <row r="1357" spans="4:4" x14ac:dyDescent="0.3">
      <c r="D1357" s="348"/>
    </row>
    <row r="1358" spans="4:4" x14ac:dyDescent="0.3">
      <c r="D1358" s="348"/>
    </row>
    <row r="1359" spans="4:4" x14ac:dyDescent="0.3">
      <c r="D1359" s="348"/>
    </row>
    <row r="1360" spans="4:4" x14ac:dyDescent="0.3">
      <c r="D1360" s="348"/>
    </row>
    <row r="1361" spans="4:4" x14ac:dyDescent="0.3">
      <c r="D1361" s="348"/>
    </row>
    <row r="1362" spans="4:4" x14ac:dyDescent="0.3">
      <c r="D1362" s="348"/>
    </row>
    <row r="1363" spans="4:4" x14ac:dyDescent="0.3">
      <c r="D1363" s="348"/>
    </row>
    <row r="1364" spans="4:4" x14ac:dyDescent="0.3">
      <c r="D1364" s="348"/>
    </row>
    <row r="1365" spans="4:4" x14ac:dyDescent="0.3">
      <c r="D1365" s="348"/>
    </row>
    <row r="1366" spans="4:4" x14ac:dyDescent="0.3">
      <c r="D1366" s="348"/>
    </row>
    <row r="1367" spans="4:4" x14ac:dyDescent="0.3">
      <c r="D1367" s="348"/>
    </row>
    <row r="1368" spans="4:4" x14ac:dyDescent="0.3">
      <c r="D1368" s="348"/>
    </row>
    <row r="1369" spans="4:4" x14ac:dyDescent="0.3">
      <c r="D1369" s="348"/>
    </row>
    <row r="1370" spans="4:4" x14ac:dyDescent="0.3">
      <c r="D1370" s="348"/>
    </row>
    <row r="1371" spans="4:4" x14ac:dyDescent="0.3">
      <c r="D1371" s="348"/>
    </row>
    <row r="1372" spans="4:4" x14ac:dyDescent="0.3">
      <c r="D1372" s="348"/>
    </row>
    <row r="1373" spans="4:4" x14ac:dyDescent="0.3">
      <c r="D1373" s="348"/>
    </row>
    <row r="1374" spans="4:4" x14ac:dyDescent="0.3">
      <c r="D1374" s="348"/>
    </row>
    <row r="1375" spans="4:4" x14ac:dyDescent="0.3">
      <c r="D1375" s="348"/>
    </row>
    <row r="1376" spans="4:4" x14ac:dyDescent="0.3">
      <c r="D1376" s="348"/>
    </row>
    <row r="1377" spans="4:4" x14ac:dyDescent="0.3">
      <c r="D1377" s="348"/>
    </row>
    <row r="1378" spans="4:4" x14ac:dyDescent="0.3">
      <c r="D1378" s="348"/>
    </row>
    <row r="1379" spans="4:4" x14ac:dyDescent="0.3">
      <c r="D1379" s="348"/>
    </row>
    <row r="1380" spans="4:4" x14ac:dyDescent="0.3">
      <c r="D1380" s="348"/>
    </row>
    <row r="1381" spans="4:4" x14ac:dyDescent="0.3">
      <c r="D1381" s="348"/>
    </row>
    <row r="1382" spans="4:4" x14ac:dyDescent="0.3">
      <c r="D1382" s="348"/>
    </row>
    <row r="1383" spans="4:4" x14ac:dyDescent="0.3">
      <c r="D1383" s="348"/>
    </row>
    <row r="1384" spans="4:4" x14ac:dyDescent="0.3">
      <c r="D1384" s="348"/>
    </row>
    <row r="1385" spans="4:4" x14ac:dyDescent="0.3">
      <c r="D1385" s="348"/>
    </row>
    <row r="1386" spans="4:4" x14ac:dyDescent="0.3">
      <c r="D1386" s="348"/>
    </row>
    <row r="1387" spans="4:4" x14ac:dyDescent="0.3">
      <c r="D1387" s="348"/>
    </row>
    <row r="1388" spans="4:4" x14ac:dyDescent="0.3">
      <c r="D1388" s="348"/>
    </row>
    <row r="1389" spans="4:4" x14ac:dyDescent="0.3">
      <c r="D1389" s="348"/>
    </row>
    <row r="1390" spans="4:4" x14ac:dyDescent="0.3">
      <c r="D1390" s="348"/>
    </row>
    <row r="1391" spans="4:4" x14ac:dyDescent="0.3">
      <c r="D1391" s="348"/>
    </row>
    <row r="1392" spans="4:4" x14ac:dyDescent="0.3">
      <c r="D1392" s="348"/>
    </row>
    <row r="1393" spans="4:4" x14ac:dyDescent="0.3">
      <c r="D1393" s="348"/>
    </row>
    <row r="1394" spans="4:4" x14ac:dyDescent="0.3">
      <c r="D1394" s="348"/>
    </row>
    <row r="1395" spans="4:4" x14ac:dyDescent="0.3">
      <c r="D1395" s="348"/>
    </row>
    <row r="1396" spans="4:4" x14ac:dyDescent="0.3">
      <c r="D1396" s="348"/>
    </row>
    <row r="1397" spans="4:4" x14ac:dyDescent="0.3">
      <c r="D1397" s="348"/>
    </row>
    <row r="1398" spans="4:4" x14ac:dyDescent="0.3">
      <c r="D1398" s="348"/>
    </row>
    <row r="1399" spans="4:4" x14ac:dyDescent="0.3">
      <c r="D1399" s="348"/>
    </row>
    <row r="1400" spans="4:4" x14ac:dyDescent="0.3">
      <c r="D1400" s="348"/>
    </row>
    <row r="1401" spans="4:4" x14ac:dyDescent="0.3">
      <c r="D1401" s="348"/>
    </row>
    <row r="1402" spans="4:4" x14ac:dyDescent="0.3">
      <c r="D1402" s="348"/>
    </row>
    <row r="1403" spans="4:4" x14ac:dyDescent="0.3">
      <c r="D1403" s="348"/>
    </row>
    <row r="1404" spans="4:4" x14ac:dyDescent="0.3">
      <c r="D1404" s="348"/>
    </row>
    <row r="1405" spans="4:4" x14ac:dyDescent="0.3">
      <c r="D1405" s="348"/>
    </row>
    <row r="1406" spans="4:4" x14ac:dyDescent="0.3">
      <c r="D1406" s="348"/>
    </row>
    <row r="1407" spans="4:4" x14ac:dyDescent="0.3">
      <c r="D1407" s="348"/>
    </row>
    <row r="1408" spans="4:4" x14ac:dyDescent="0.3">
      <c r="D1408" s="348"/>
    </row>
    <row r="1409" spans="4:4" x14ac:dyDescent="0.3">
      <c r="D1409" s="348"/>
    </row>
    <row r="1410" spans="4:4" x14ac:dyDescent="0.3">
      <c r="D1410" s="348"/>
    </row>
    <row r="1411" spans="4:4" x14ac:dyDescent="0.3">
      <c r="D1411" s="348"/>
    </row>
    <row r="1412" spans="4:4" x14ac:dyDescent="0.3">
      <c r="D1412" s="348"/>
    </row>
    <row r="1413" spans="4:4" x14ac:dyDescent="0.3">
      <c r="D1413" s="348"/>
    </row>
    <row r="1414" spans="4:4" x14ac:dyDescent="0.3">
      <c r="D1414" s="348"/>
    </row>
    <row r="1415" spans="4:4" x14ac:dyDescent="0.3">
      <c r="D1415" s="348"/>
    </row>
    <row r="1416" spans="4:4" x14ac:dyDescent="0.3">
      <c r="D1416" s="348"/>
    </row>
    <row r="1417" spans="4:4" x14ac:dyDescent="0.3">
      <c r="D1417" s="348"/>
    </row>
    <row r="1418" spans="4:4" x14ac:dyDescent="0.3">
      <c r="D1418" s="348"/>
    </row>
    <row r="1419" spans="4:4" x14ac:dyDescent="0.3">
      <c r="D1419" s="348"/>
    </row>
    <row r="1420" spans="4:4" x14ac:dyDescent="0.3">
      <c r="D1420" s="348"/>
    </row>
    <row r="1421" spans="4:4" x14ac:dyDescent="0.3">
      <c r="D1421" s="348"/>
    </row>
    <row r="1422" spans="4:4" x14ac:dyDescent="0.3">
      <c r="D1422" s="348"/>
    </row>
    <row r="1423" spans="4:4" x14ac:dyDescent="0.3">
      <c r="D1423" s="348"/>
    </row>
    <row r="1424" spans="4:4" x14ac:dyDescent="0.3">
      <c r="D1424" s="348"/>
    </row>
    <row r="1425" spans="4:4" x14ac:dyDescent="0.3">
      <c r="D1425" s="348"/>
    </row>
    <row r="1426" spans="4:4" x14ac:dyDescent="0.3">
      <c r="D1426" s="348"/>
    </row>
    <row r="1427" spans="4:4" x14ac:dyDescent="0.3">
      <c r="D1427" s="348"/>
    </row>
    <row r="1428" spans="4:4" x14ac:dyDescent="0.3">
      <c r="D1428" s="348"/>
    </row>
    <row r="1429" spans="4:4" x14ac:dyDescent="0.3">
      <c r="D1429" s="348"/>
    </row>
    <row r="1430" spans="4:4" x14ac:dyDescent="0.3">
      <c r="D1430" s="348"/>
    </row>
    <row r="1431" spans="4:4" x14ac:dyDescent="0.3">
      <c r="D1431" s="348"/>
    </row>
    <row r="1432" spans="4:4" x14ac:dyDescent="0.3">
      <c r="D1432" s="348"/>
    </row>
    <row r="1433" spans="4:4" x14ac:dyDescent="0.3">
      <c r="D1433" s="348"/>
    </row>
    <row r="1434" spans="4:4" x14ac:dyDescent="0.3">
      <c r="D1434" s="348"/>
    </row>
    <row r="1435" spans="4:4" x14ac:dyDescent="0.3">
      <c r="D1435" s="348"/>
    </row>
    <row r="1436" spans="4:4" x14ac:dyDescent="0.3">
      <c r="D1436" s="348"/>
    </row>
    <row r="1437" spans="4:4" x14ac:dyDescent="0.3">
      <c r="D1437" s="348"/>
    </row>
    <row r="1438" spans="4:4" x14ac:dyDescent="0.3">
      <c r="D1438" s="348"/>
    </row>
    <row r="1439" spans="4:4" x14ac:dyDescent="0.3">
      <c r="D1439" s="348"/>
    </row>
    <row r="1440" spans="4:4" x14ac:dyDescent="0.3">
      <c r="D1440" s="348"/>
    </row>
    <row r="1441" spans="4:4" x14ac:dyDescent="0.3">
      <c r="D1441" s="348"/>
    </row>
    <row r="1442" spans="4:4" x14ac:dyDescent="0.3">
      <c r="D1442" s="348"/>
    </row>
    <row r="1443" spans="4:4" x14ac:dyDescent="0.3">
      <c r="D1443" s="348"/>
    </row>
    <row r="1444" spans="4:4" x14ac:dyDescent="0.3">
      <c r="D1444" s="348"/>
    </row>
    <row r="1445" spans="4:4" x14ac:dyDescent="0.3">
      <c r="D1445" s="348"/>
    </row>
    <row r="1446" spans="4:4" x14ac:dyDescent="0.3">
      <c r="D1446" s="348"/>
    </row>
    <row r="1447" spans="4:4" x14ac:dyDescent="0.3">
      <c r="D1447" s="348"/>
    </row>
    <row r="1448" spans="4:4" x14ac:dyDescent="0.3">
      <c r="D1448" s="348"/>
    </row>
    <row r="1449" spans="4:4" x14ac:dyDescent="0.3">
      <c r="D1449" s="348"/>
    </row>
    <row r="1450" spans="4:4" x14ac:dyDescent="0.3">
      <c r="D1450" s="348"/>
    </row>
    <row r="1451" spans="4:4" x14ac:dyDescent="0.3">
      <c r="D1451" s="348"/>
    </row>
    <row r="1452" spans="4:4" x14ac:dyDescent="0.3">
      <c r="D1452" s="348"/>
    </row>
    <row r="1453" spans="4:4" x14ac:dyDescent="0.3">
      <c r="D1453" s="348"/>
    </row>
    <row r="1454" spans="4:4" x14ac:dyDescent="0.3">
      <c r="D1454" s="348"/>
    </row>
    <row r="1455" spans="4:4" x14ac:dyDescent="0.3">
      <c r="D1455" s="348"/>
    </row>
    <row r="1456" spans="4:4" x14ac:dyDescent="0.3">
      <c r="D1456" s="348"/>
    </row>
    <row r="1457" spans="4:4" x14ac:dyDescent="0.3">
      <c r="D1457" s="348"/>
    </row>
    <row r="1458" spans="4:4" x14ac:dyDescent="0.3">
      <c r="D1458" s="348"/>
    </row>
    <row r="1459" spans="4:4" x14ac:dyDescent="0.3">
      <c r="D1459" s="348"/>
    </row>
    <row r="1460" spans="4:4" x14ac:dyDescent="0.3">
      <c r="D1460" s="348"/>
    </row>
    <row r="1461" spans="4:4" x14ac:dyDescent="0.3">
      <c r="D1461" s="348"/>
    </row>
    <row r="1462" spans="4:4" x14ac:dyDescent="0.3">
      <c r="D1462" s="348"/>
    </row>
    <row r="1463" spans="4:4" x14ac:dyDescent="0.3">
      <c r="D1463" s="348"/>
    </row>
    <row r="1464" spans="4:4" x14ac:dyDescent="0.3">
      <c r="D1464" s="348"/>
    </row>
    <row r="1465" spans="4:4" x14ac:dyDescent="0.3">
      <c r="D1465" s="348"/>
    </row>
    <row r="1466" spans="4:4" x14ac:dyDescent="0.3">
      <c r="D1466" s="348"/>
    </row>
    <row r="1467" spans="4:4" x14ac:dyDescent="0.3">
      <c r="D1467" s="348"/>
    </row>
    <row r="1468" spans="4:4" x14ac:dyDescent="0.3">
      <c r="D1468" s="348"/>
    </row>
    <row r="1469" spans="4:4" x14ac:dyDescent="0.3">
      <c r="D1469" s="348"/>
    </row>
    <row r="1470" spans="4:4" x14ac:dyDescent="0.3">
      <c r="D1470" s="348"/>
    </row>
    <row r="1471" spans="4:4" x14ac:dyDescent="0.3">
      <c r="D1471" s="348"/>
    </row>
    <row r="1472" spans="4:4" x14ac:dyDescent="0.3">
      <c r="D1472" s="348"/>
    </row>
    <row r="1473" spans="4:4" x14ac:dyDescent="0.3">
      <c r="D1473" s="348"/>
    </row>
    <row r="1474" spans="4:4" x14ac:dyDescent="0.3">
      <c r="D1474" s="348"/>
    </row>
    <row r="1475" spans="4:4" x14ac:dyDescent="0.3">
      <c r="D1475" s="348"/>
    </row>
    <row r="1476" spans="4:4" x14ac:dyDescent="0.3">
      <c r="D1476" s="348"/>
    </row>
    <row r="1477" spans="4:4" x14ac:dyDescent="0.3">
      <c r="D1477" s="348"/>
    </row>
    <row r="1478" spans="4:4" x14ac:dyDescent="0.3">
      <c r="D1478" s="348"/>
    </row>
    <row r="1479" spans="4:4" x14ac:dyDescent="0.3">
      <c r="D1479" s="348"/>
    </row>
    <row r="1480" spans="4:4" x14ac:dyDescent="0.3">
      <c r="D1480" s="348"/>
    </row>
    <row r="1481" spans="4:4" x14ac:dyDescent="0.3">
      <c r="D1481" s="348"/>
    </row>
    <row r="1482" spans="4:4" x14ac:dyDescent="0.3">
      <c r="D1482" s="348"/>
    </row>
    <row r="1483" spans="4:4" x14ac:dyDescent="0.3">
      <c r="D1483" s="348"/>
    </row>
    <row r="1484" spans="4:4" x14ac:dyDescent="0.3">
      <c r="D1484" s="348"/>
    </row>
    <row r="1485" spans="4:4" x14ac:dyDescent="0.3">
      <c r="D1485" s="348"/>
    </row>
    <row r="1486" spans="4:4" x14ac:dyDescent="0.3">
      <c r="D1486" s="348"/>
    </row>
    <row r="1487" spans="4:4" x14ac:dyDescent="0.3">
      <c r="D1487" s="348"/>
    </row>
    <row r="1488" spans="4:4" x14ac:dyDescent="0.3">
      <c r="D1488" s="348"/>
    </row>
    <row r="1489" spans="4:4" x14ac:dyDescent="0.3">
      <c r="D1489" s="348"/>
    </row>
    <row r="1490" spans="4:4" x14ac:dyDescent="0.3">
      <c r="D1490" s="348"/>
    </row>
    <row r="1491" spans="4:4" x14ac:dyDescent="0.3">
      <c r="D1491" s="348"/>
    </row>
    <row r="1492" spans="4:4" x14ac:dyDescent="0.3">
      <c r="D1492" s="348"/>
    </row>
    <row r="1493" spans="4:4" x14ac:dyDescent="0.3">
      <c r="D1493" s="348"/>
    </row>
    <row r="1494" spans="4:4" x14ac:dyDescent="0.3">
      <c r="D1494" s="348"/>
    </row>
    <row r="1495" spans="4:4" x14ac:dyDescent="0.3">
      <c r="D1495" s="348"/>
    </row>
    <row r="1496" spans="4:4" x14ac:dyDescent="0.3">
      <c r="D1496" s="348"/>
    </row>
    <row r="1497" spans="4:4" x14ac:dyDescent="0.3">
      <c r="D1497" s="348"/>
    </row>
    <row r="1498" spans="4:4" x14ac:dyDescent="0.3">
      <c r="D1498" s="348"/>
    </row>
    <row r="1499" spans="4:4" x14ac:dyDescent="0.3">
      <c r="D1499" s="348"/>
    </row>
    <row r="1500" spans="4:4" x14ac:dyDescent="0.3">
      <c r="D1500" s="348"/>
    </row>
    <row r="1501" spans="4:4" x14ac:dyDescent="0.3">
      <c r="D1501" s="348"/>
    </row>
    <row r="1502" spans="4:4" x14ac:dyDescent="0.3">
      <c r="D1502" s="348"/>
    </row>
    <row r="1503" spans="4:4" x14ac:dyDescent="0.3">
      <c r="D1503" s="348"/>
    </row>
    <row r="1504" spans="4:4" x14ac:dyDescent="0.3">
      <c r="D1504" s="348"/>
    </row>
    <row r="1505" spans="4:4" x14ac:dyDescent="0.3">
      <c r="D1505" s="348"/>
    </row>
    <row r="1506" spans="4:4" x14ac:dyDescent="0.3">
      <c r="D1506" s="348"/>
    </row>
    <row r="1507" spans="4:4" x14ac:dyDescent="0.3">
      <c r="D1507" s="348"/>
    </row>
    <row r="1508" spans="4:4" x14ac:dyDescent="0.3">
      <c r="D1508" s="348"/>
    </row>
    <row r="1509" spans="4:4" x14ac:dyDescent="0.3">
      <c r="D1509" s="348"/>
    </row>
    <row r="1510" spans="4:4" x14ac:dyDescent="0.3">
      <c r="D1510" s="348"/>
    </row>
    <row r="1511" spans="4:4" x14ac:dyDescent="0.3">
      <c r="D1511" s="348"/>
    </row>
    <row r="1512" spans="4:4" x14ac:dyDescent="0.3">
      <c r="D1512" s="348"/>
    </row>
    <row r="1513" spans="4:4" x14ac:dyDescent="0.3">
      <c r="D1513" s="348"/>
    </row>
    <row r="1514" spans="4:4" x14ac:dyDescent="0.3">
      <c r="D1514" s="348"/>
    </row>
    <row r="1515" spans="4:4" x14ac:dyDescent="0.3">
      <c r="D1515" s="348"/>
    </row>
    <row r="1516" spans="4:4" x14ac:dyDescent="0.3">
      <c r="D1516" s="348"/>
    </row>
    <row r="1517" spans="4:4" x14ac:dyDescent="0.3">
      <c r="D1517" s="348"/>
    </row>
    <row r="1518" spans="4:4" x14ac:dyDescent="0.3">
      <c r="D1518" s="348"/>
    </row>
    <row r="1519" spans="4:4" x14ac:dyDescent="0.3">
      <c r="D1519" s="348"/>
    </row>
    <row r="1520" spans="4:4" x14ac:dyDescent="0.3">
      <c r="D1520" s="348"/>
    </row>
    <row r="1521" spans="4:4" x14ac:dyDescent="0.3">
      <c r="D1521" s="348"/>
    </row>
    <row r="1522" spans="4:4" x14ac:dyDescent="0.3">
      <c r="D1522" s="348"/>
    </row>
    <row r="1523" spans="4:4" x14ac:dyDescent="0.3">
      <c r="D1523" s="348"/>
    </row>
    <row r="1524" spans="4:4" x14ac:dyDescent="0.3">
      <c r="D1524" s="348"/>
    </row>
    <row r="1525" spans="4:4" x14ac:dyDescent="0.3">
      <c r="D1525" s="348"/>
    </row>
    <row r="1526" spans="4:4" x14ac:dyDescent="0.3">
      <c r="D1526" s="348"/>
    </row>
    <row r="1527" spans="4:4" x14ac:dyDescent="0.3">
      <c r="D1527" s="348"/>
    </row>
    <row r="1528" spans="4:4" x14ac:dyDescent="0.3">
      <c r="D1528" s="348"/>
    </row>
    <row r="1529" spans="4:4" x14ac:dyDescent="0.3">
      <c r="D1529" s="348"/>
    </row>
    <row r="1530" spans="4:4" x14ac:dyDescent="0.3">
      <c r="D1530" s="348"/>
    </row>
    <row r="1531" spans="4:4" x14ac:dyDescent="0.3">
      <c r="D1531" s="348"/>
    </row>
    <row r="1532" spans="4:4" x14ac:dyDescent="0.3">
      <c r="D1532" s="348"/>
    </row>
    <row r="1533" spans="4:4" x14ac:dyDescent="0.3">
      <c r="D1533" s="348"/>
    </row>
    <row r="1534" spans="4:4" x14ac:dyDescent="0.3">
      <c r="D1534" s="348"/>
    </row>
    <row r="1535" spans="4:4" x14ac:dyDescent="0.3">
      <c r="D1535" s="348"/>
    </row>
    <row r="1536" spans="4:4" x14ac:dyDescent="0.3">
      <c r="D1536" s="348"/>
    </row>
    <row r="1537" spans="4:4" x14ac:dyDescent="0.3">
      <c r="D1537" s="348"/>
    </row>
    <row r="1538" spans="4:4" x14ac:dyDescent="0.3">
      <c r="D1538" s="348"/>
    </row>
    <row r="1539" spans="4:4" x14ac:dyDescent="0.3">
      <c r="D1539" s="348"/>
    </row>
    <row r="1540" spans="4:4" x14ac:dyDescent="0.3">
      <c r="D1540" s="348"/>
    </row>
    <row r="1541" spans="4:4" x14ac:dyDescent="0.3">
      <c r="D1541" s="348"/>
    </row>
    <row r="1542" spans="4:4" x14ac:dyDescent="0.3">
      <c r="D1542" s="348"/>
    </row>
    <row r="1543" spans="4:4" x14ac:dyDescent="0.3">
      <c r="D1543" s="348"/>
    </row>
    <row r="1544" spans="4:4" x14ac:dyDescent="0.3">
      <c r="D1544" s="348"/>
    </row>
    <row r="1545" spans="4:4" x14ac:dyDescent="0.3">
      <c r="D1545" s="348"/>
    </row>
    <row r="1546" spans="4:4" x14ac:dyDescent="0.3">
      <c r="D1546" s="348"/>
    </row>
    <row r="1547" spans="4:4" x14ac:dyDescent="0.3">
      <c r="D1547" s="348"/>
    </row>
    <row r="1548" spans="4:4" x14ac:dyDescent="0.3">
      <c r="D1548" s="348"/>
    </row>
    <row r="1549" spans="4:4" x14ac:dyDescent="0.3">
      <c r="D1549" s="348"/>
    </row>
    <row r="1550" spans="4:4" x14ac:dyDescent="0.3">
      <c r="D1550" s="348"/>
    </row>
    <row r="1551" spans="4:4" x14ac:dyDescent="0.3">
      <c r="D1551" s="348"/>
    </row>
    <row r="1552" spans="4:4" x14ac:dyDescent="0.3">
      <c r="D1552" s="348"/>
    </row>
    <row r="1553" spans="4:4" x14ac:dyDescent="0.3">
      <c r="D1553" s="348"/>
    </row>
    <row r="1554" spans="4:4" x14ac:dyDescent="0.3">
      <c r="D1554" s="348"/>
    </row>
    <row r="1555" spans="4:4" x14ac:dyDescent="0.3">
      <c r="D1555" s="348"/>
    </row>
    <row r="1556" spans="4:4" x14ac:dyDescent="0.3">
      <c r="D1556" s="348"/>
    </row>
    <row r="1557" spans="4:4" x14ac:dyDescent="0.3">
      <c r="D1557" s="348"/>
    </row>
    <row r="1558" spans="4:4" x14ac:dyDescent="0.3">
      <c r="D1558" s="348"/>
    </row>
    <row r="1559" spans="4:4" x14ac:dyDescent="0.3">
      <c r="D1559" s="348"/>
    </row>
    <row r="1560" spans="4:4" x14ac:dyDescent="0.3">
      <c r="D1560" s="348"/>
    </row>
    <row r="1561" spans="4:4" x14ac:dyDescent="0.3">
      <c r="D1561" s="348"/>
    </row>
    <row r="1562" spans="4:4" x14ac:dyDescent="0.3">
      <c r="D1562" s="348"/>
    </row>
    <row r="1563" spans="4:4" x14ac:dyDescent="0.3">
      <c r="D1563" s="348"/>
    </row>
    <row r="1564" spans="4:4" x14ac:dyDescent="0.3">
      <c r="D1564" s="348"/>
    </row>
    <row r="1565" spans="4:4" x14ac:dyDescent="0.3">
      <c r="D1565" s="348"/>
    </row>
    <row r="1566" spans="4:4" x14ac:dyDescent="0.3">
      <c r="D1566" s="348"/>
    </row>
    <row r="1567" spans="4:4" x14ac:dyDescent="0.3">
      <c r="D1567" s="348"/>
    </row>
    <row r="1568" spans="4:4" x14ac:dyDescent="0.3">
      <c r="D1568" s="348"/>
    </row>
    <row r="1569" spans="4:4" x14ac:dyDescent="0.3">
      <c r="D1569" s="348"/>
    </row>
    <row r="1570" spans="4:4" x14ac:dyDescent="0.3">
      <c r="D1570" s="348"/>
    </row>
    <row r="1571" spans="4:4" x14ac:dyDescent="0.3">
      <c r="D1571" s="348"/>
    </row>
    <row r="1572" spans="4:4" x14ac:dyDescent="0.3">
      <c r="D1572" s="348"/>
    </row>
    <row r="1573" spans="4:4" x14ac:dyDescent="0.3">
      <c r="D1573" s="348"/>
    </row>
    <row r="1574" spans="4:4" x14ac:dyDescent="0.3">
      <c r="D1574" s="348"/>
    </row>
    <row r="1575" spans="4:4" x14ac:dyDescent="0.3">
      <c r="D1575" s="348"/>
    </row>
    <row r="1576" spans="4:4" x14ac:dyDescent="0.3">
      <c r="D1576" s="348"/>
    </row>
    <row r="1577" spans="4:4" x14ac:dyDescent="0.3">
      <c r="D1577" s="348"/>
    </row>
    <row r="1578" spans="4:4" x14ac:dyDescent="0.3">
      <c r="D1578" s="348"/>
    </row>
    <row r="1579" spans="4:4" x14ac:dyDescent="0.3">
      <c r="D1579" s="348"/>
    </row>
    <row r="1580" spans="4:4" x14ac:dyDescent="0.3">
      <c r="D1580" s="348"/>
    </row>
    <row r="1581" spans="4:4" x14ac:dyDescent="0.3">
      <c r="D1581" s="348"/>
    </row>
    <row r="1582" spans="4:4" x14ac:dyDescent="0.3">
      <c r="D1582" s="348"/>
    </row>
    <row r="1583" spans="4:4" x14ac:dyDescent="0.3">
      <c r="D1583" s="348"/>
    </row>
    <row r="1584" spans="4:4" x14ac:dyDescent="0.3">
      <c r="D1584" s="348"/>
    </row>
    <row r="1585" spans="4:4" x14ac:dyDescent="0.3">
      <c r="D1585" s="348"/>
    </row>
    <row r="1586" spans="4:4" x14ac:dyDescent="0.3">
      <c r="D1586" s="348"/>
    </row>
    <row r="1587" spans="4:4" x14ac:dyDescent="0.3">
      <c r="D1587" s="348"/>
    </row>
    <row r="1588" spans="4:4" x14ac:dyDescent="0.3">
      <c r="D1588" s="348"/>
    </row>
    <row r="1589" spans="4:4" x14ac:dyDescent="0.3">
      <c r="D1589" s="348"/>
    </row>
    <row r="1590" spans="4:4" x14ac:dyDescent="0.3">
      <c r="D1590" s="348"/>
    </row>
    <row r="1591" spans="4:4" x14ac:dyDescent="0.3">
      <c r="D1591" s="348"/>
    </row>
    <row r="1592" spans="4:4" x14ac:dyDescent="0.3">
      <c r="D1592" s="348"/>
    </row>
    <row r="1593" spans="4:4" x14ac:dyDescent="0.3">
      <c r="D1593" s="348"/>
    </row>
    <row r="1594" spans="4:4" x14ac:dyDescent="0.3">
      <c r="D1594" s="348"/>
    </row>
    <row r="1595" spans="4:4" x14ac:dyDescent="0.3">
      <c r="D1595" s="348"/>
    </row>
    <row r="1596" spans="4:4" x14ac:dyDescent="0.3">
      <c r="D1596" s="348"/>
    </row>
    <row r="1597" spans="4:4" x14ac:dyDescent="0.3">
      <c r="D1597" s="348"/>
    </row>
    <row r="1598" spans="4:4" x14ac:dyDescent="0.3">
      <c r="D1598" s="348"/>
    </row>
    <row r="1599" spans="4:4" x14ac:dyDescent="0.3">
      <c r="D1599" s="348"/>
    </row>
    <row r="1600" spans="4:4" x14ac:dyDescent="0.3">
      <c r="D1600" s="348"/>
    </row>
    <row r="1601" spans="4:4" x14ac:dyDescent="0.3">
      <c r="D1601" s="348"/>
    </row>
    <row r="1602" spans="4:4" x14ac:dyDescent="0.3">
      <c r="D1602" s="348"/>
    </row>
    <row r="1603" spans="4:4" x14ac:dyDescent="0.3">
      <c r="D1603" s="348"/>
    </row>
    <row r="1604" spans="4:4" x14ac:dyDescent="0.3">
      <c r="D1604" s="348"/>
    </row>
    <row r="1605" spans="4:4" x14ac:dyDescent="0.3">
      <c r="D1605" s="348"/>
    </row>
    <row r="1606" spans="4:4" x14ac:dyDescent="0.3">
      <c r="D1606" s="348"/>
    </row>
    <row r="1607" spans="4:4" x14ac:dyDescent="0.3">
      <c r="D1607" s="348"/>
    </row>
    <row r="1608" spans="4:4" x14ac:dyDescent="0.3">
      <c r="D1608" s="348"/>
    </row>
    <row r="1609" spans="4:4" x14ac:dyDescent="0.3">
      <c r="D1609" s="348"/>
    </row>
    <row r="1610" spans="4:4" x14ac:dyDescent="0.3">
      <c r="D1610" s="348"/>
    </row>
    <row r="1611" spans="4:4" x14ac:dyDescent="0.3">
      <c r="D1611" s="348"/>
    </row>
    <row r="1612" spans="4:4" x14ac:dyDescent="0.3">
      <c r="D1612" s="348"/>
    </row>
    <row r="1613" spans="4:4" x14ac:dyDescent="0.3">
      <c r="D1613" s="348"/>
    </row>
    <row r="1614" spans="4:4" x14ac:dyDescent="0.3">
      <c r="D1614" s="348"/>
    </row>
    <row r="1615" spans="4:4" x14ac:dyDescent="0.3">
      <c r="D1615" s="348"/>
    </row>
    <row r="1616" spans="4:4" x14ac:dyDescent="0.3">
      <c r="D1616" s="348"/>
    </row>
    <row r="1617" spans="4:4" x14ac:dyDescent="0.3">
      <c r="D1617" s="348"/>
    </row>
    <row r="1618" spans="4:4" x14ac:dyDescent="0.3">
      <c r="D1618" s="348"/>
    </row>
    <row r="1619" spans="4:4" x14ac:dyDescent="0.3">
      <c r="D1619" s="348"/>
    </row>
    <row r="1620" spans="4:4" x14ac:dyDescent="0.3">
      <c r="D1620" s="348"/>
    </row>
    <row r="1621" spans="4:4" x14ac:dyDescent="0.3">
      <c r="D1621" s="348"/>
    </row>
    <row r="1622" spans="4:4" x14ac:dyDescent="0.3">
      <c r="D1622" s="348"/>
    </row>
    <row r="1623" spans="4:4" x14ac:dyDescent="0.3">
      <c r="D1623" s="348"/>
    </row>
    <row r="1624" spans="4:4" x14ac:dyDescent="0.3">
      <c r="D1624" s="348"/>
    </row>
    <row r="1625" spans="4:4" x14ac:dyDescent="0.3">
      <c r="D1625" s="348"/>
    </row>
    <row r="1626" spans="4:4" x14ac:dyDescent="0.3">
      <c r="D1626" s="348"/>
    </row>
    <row r="1627" spans="4:4" x14ac:dyDescent="0.3">
      <c r="D1627" s="348"/>
    </row>
    <row r="1628" spans="4:4" x14ac:dyDescent="0.3">
      <c r="D1628" s="348"/>
    </row>
    <row r="1629" spans="4:4" x14ac:dyDescent="0.3">
      <c r="D1629" s="348"/>
    </row>
    <row r="1630" spans="4:4" x14ac:dyDescent="0.3">
      <c r="D1630" s="348"/>
    </row>
    <row r="1631" spans="4:4" x14ac:dyDescent="0.3">
      <c r="D1631" s="348"/>
    </row>
    <row r="1632" spans="4:4" x14ac:dyDescent="0.3">
      <c r="D1632" s="348"/>
    </row>
    <row r="1633" spans="4:4" x14ac:dyDescent="0.3">
      <c r="D1633" s="348"/>
    </row>
    <row r="1634" spans="4:4" x14ac:dyDescent="0.3">
      <c r="D1634" s="348"/>
    </row>
    <row r="1635" spans="4:4" x14ac:dyDescent="0.3">
      <c r="D1635" s="348"/>
    </row>
    <row r="1636" spans="4:4" x14ac:dyDescent="0.3">
      <c r="D1636" s="348"/>
    </row>
    <row r="1637" spans="4:4" x14ac:dyDescent="0.3">
      <c r="D1637" s="348"/>
    </row>
    <row r="1638" spans="4:4" x14ac:dyDescent="0.3">
      <c r="D1638" s="348"/>
    </row>
    <row r="1639" spans="4:4" x14ac:dyDescent="0.3">
      <c r="D1639" s="348"/>
    </row>
    <row r="1640" spans="4:4" x14ac:dyDescent="0.3">
      <c r="D1640" s="348"/>
    </row>
    <row r="1641" spans="4:4" x14ac:dyDescent="0.3">
      <c r="D1641" s="348"/>
    </row>
    <row r="1642" spans="4:4" x14ac:dyDescent="0.3">
      <c r="D1642" s="348"/>
    </row>
    <row r="1643" spans="4:4" x14ac:dyDescent="0.3">
      <c r="D1643" s="348"/>
    </row>
    <row r="1644" spans="4:4" x14ac:dyDescent="0.3">
      <c r="D1644" s="348"/>
    </row>
    <row r="1645" spans="4:4" x14ac:dyDescent="0.3">
      <c r="D1645" s="348"/>
    </row>
    <row r="1646" spans="4:4" x14ac:dyDescent="0.3">
      <c r="D1646" s="348"/>
    </row>
    <row r="1647" spans="4:4" x14ac:dyDescent="0.3">
      <c r="D1647" s="348"/>
    </row>
    <row r="1648" spans="4:4" x14ac:dyDescent="0.3">
      <c r="D1648" s="348"/>
    </row>
    <row r="1649" spans="4:4" x14ac:dyDescent="0.3">
      <c r="D1649" s="348"/>
    </row>
    <row r="1650" spans="4:4" x14ac:dyDescent="0.3">
      <c r="D1650" s="348"/>
    </row>
    <row r="1651" spans="4:4" x14ac:dyDescent="0.3">
      <c r="D1651" s="348"/>
    </row>
    <row r="1652" spans="4:4" x14ac:dyDescent="0.3">
      <c r="D1652" s="348"/>
    </row>
    <row r="1653" spans="4:4" x14ac:dyDescent="0.3">
      <c r="D1653" s="348"/>
    </row>
    <row r="1654" spans="4:4" x14ac:dyDescent="0.3">
      <c r="D1654" s="348"/>
    </row>
    <row r="1655" spans="4:4" x14ac:dyDescent="0.3">
      <c r="D1655" s="348"/>
    </row>
    <row r="1656" spans="4:4" x14ac:dyDescent="0.3">
      <c r="D1656" s="348"/>
    </row>
    <row r="1657" spans="4:4" x14ac:dyDescent="0.3">
      <c r="D1657" s="348"/>
    </row>
    <row r="1658" spans="4:4" x14ac:dyDescent="0.3">
      <c r="D1658" s="348"/>
    </row>
    <row r="1659" spans="4:4" x14ac:dyDescent="0.3">
      <c r="D1659" s="348"/>
    </row>
    <row r="1660" spans="4:4" x14ac:dyDescent="0.3">
      <c r="D1660" s="348"/>
    </row>
    <row r="1661" spans="4:4" x14ac:dyDescent="0.3">
      <c r="D1661" s="348"/>
    </row>
    <row r="1662" spans="4:4" x14ac:dyDescent="0.3">
      <c r="D1662" s="348"/>
    </row>
    <row r="1663" spans="4:4" x14ac:dyDescent="0.3">
      <c r="D1663" s="348"/>
    </row>
    <row r="1664" spans="4:4" x14ac:dyDescent="0.3">
      <c r="D1664" s="348"/>
    </row>
    <row r="1665" spans="4:4" x14ac:dyDescent="0.3">
      <c r="D1665" s="348"/>
    </row>
    <row r="1666" spans="4:4" x14ac:dyDescent="0.3">
      <c r="D1666" s="348"/>
    </row>
    <row r="1667" spans="4:4" x14ac:dyDescent="0.3">
      <c r="D1667" s="348"/>
    </row>
    <row r="1668" spans="4:4" x14ac:dyDescent="0.3">
      <c r="D1668" s="348"/>
    </row>
    <row r="1669" spans="4:4" x14ac:dyDescent="0.3">
      <c r="D1669" s="348"/>
    </row>
    <row r="1670" spans="4:4" x14ac:dyDescent="0.3">
      <c r="D1670" s="348"/>
    </row>
    <row r="1671" spans="4:4" x14ac:dyDescent="0.3">
      <c r="D1671" s="348"/>
    </row>
    <row r="1672" spans="4:4" x14ac:dyDescent="0.3">
      <c r="D1672" s="348"/>
    </row>
    <row r="1673" spans="4:4" x14ac:dyDescent="0.3">
      <c r="D1673" s="348"/>
    </row>
    <row r="1674" spans="4:4" x14ac:dyDescent="0.3">
      <c r="D1674" s="348"/>
    </row>
    <row r="1675" spans="4:4" x14ac:dyDescent="0.3">
      <c r="D1675" s="348"/>
    </row>
    <row r="1676" spans="4:4" x14ac:dyDescent="0.3">
      <c r="D1676" s="348"/>
    </row>
    <row r="1677" spans="4:4" x14ac:dyDescent="0.3">
      <c r="D1677" s="348"/>
    </row>
    <row r="1678" spans="4:4" x14ac:dyDescent="0.3">
      <c r="D1678" s="348"/>
    </row>
    <row r="1679" spans="4:4" x14ac:dyDescent="0.3">
      <c r="D1679" s="348"/>
    </row>
    <row r="1680" spans="4:4" x14ac:dyDescent="0.3">
      <c r="D1680" s="348"/>
    </row>
    <row r="1681" spans="4:4" x14ac:dyDescent="0.3">
      <c r="D1681" s="348"/>
    </row>
    <row r="1682" spans="4:4" x14ac:dyDescent="0.3">
      <c r="D1682" s="348"/>
    </row>
    <row r="1683" spans="4:4" x14ac:dyDescent="0.3">
      <c r="D1683" s="348"/>
    </row>
    <row r="1684" spans="4:4" x14ac:dyDescent="0.3">
      <c r="D1684" s="348"/>
    </row>
    <row r="1685" spans="4:4" x14ac:dyDescent="0.3">
      <c r="D1685" s="348"/>
    </row>
    <row r="1686" spans="4:4" x14ac:dyDescent="0.3">
      <c r="D1686" s="348"/>
    </row>
    <row r="1687" spans="4:4" x14ac:dyDescent="0.3">
      <c r="D1687" s="348"/>
    </row>
    <row r="1688" spans="4:4" x14ac:dyDescent="0.3">
      <c r="D1688" s="348"/>
    </row>
    <row r="1689" spans="4:4" x14ac:dyDescent="0.3">
      <c r="D1689" s="348"/>
    </row>
    <row r="1690" spans="4:4" x14ac:dyDescent="0.3">
      <c r="D1690" s="348"/>
    </row>
    <row r="1691" spans="4:4" x14ac:dyDescent="0.3">
      <c r="D1691" s="348"/>
    </row>
    <row r="1692" spans="4:4" x14ac:dyDescent="0.3">
      <c r="D1692" s="348"/>
    </row>
    <row r="1693" spans="4:4" x14ac:dyDescent="0.3">
      <c r="D1693" s="348"/>
    </row>
    <row r="1694" spans="4:4" x14ac:dyDescent="0.3">
      <c r="D1694" s="348"/>
    </row>
    <row r="1695" spans="4:4" x14ac:dyDescent="0.3">
      <c r="D1695" s="348"/>
    </row>
    <row r="1696" spans="4:4" x14ac:dyDescent="0.3">
      <c r="D1696" s="348"/>
    </row>
    <row r="1697" spans="4:4" x14ac:dyDescent="0.3">
      <c r="D1697" s="348"/>
    </row>
    <row r="1698" spans="4:4" x14ac:dyDescent="0.3">
      <c r="D1698" s="348"/>
    </row>
    <row r="1699" spans="4:4" x14ac:dyDescent="0.3">
      <c r="D1699" s="348"/>
    </row>
    <row r="1700" spans="4:4" x14ac:dyDescent="0.3">
      <c r="D1700" s="348"/>
    </row>
    <row r="1701" spans="4:4" x14ac:dyDescent="0.3">
      <c r="D1701" s="348"/>
    </row>
    <row r="1702" spans="4:4" x14ac:dyDescent="0.3">
      <c r="D1702" s="348"/>
    </row>
    <row r="1703" spans="4:4" x14ac:dyDescent="0.3">
      <c r="D1703" s="348"/>
    </row>
    <row r="1704" spans="4:4" x14ac:dyDescent="0.3">
      <c r="D1704" s="348"/>
    </row>
    <row r="1705" spans="4:4" x14ac:dyDescent="0.3">
      <c r="D1705" s="348"/>
    </row>
    <row r="1706" spans="4:4" x14ac:dyDescent="0.3">
      <c r="D1706" s="348"/>
    </row>
    <row r="1707" spans="4:4" x14ac:dyDescent="0.3">
      <c r="D1707" s="348"/>
    </row>
    <row r="1708" spans="4:4" x14ac:dyDescent="0.3">
      <c r="D1708" s="348"/>
    </row>
    <row r="1709" spans="4:4" x14ac:dyDescent="0.3">
      <c r="D1709" s="348"/>
    </row>
    <row r="1710" spans="4:4" x14ac:dyDescent="0.3">
      <c r="D1710" s="348"/>
    </row>
    <row r="1711" spans="4:4" x14ac:dyDescent="0.3">
      <c r="D1711" s="348"/>
    </row>
    <row r="1712" spans="4:4" x14ac:dyDescent="0.3">
      <c r="D1712" s="348"/>
    </row>
    <row r="1713" spans="4:4" x14ac:dyDescent="0.3">
      <c r="D1713" s="348"/>
    </row>
    <row r="1714" spans="4:4" x14ac:dyDescent="0.3">
      <c r="D1714" s="348"/>
    </row>
    <row r="1715" spans="4:4" x14ac:dyDescent="0.3">
      <c r="D1715" s="348"/>
    </row>
    <row r="1716" spans="4:4" x14ac:dyDescent="0.3">
      <c r="D1716" s="348"/>
    </row>
    <row r="1717" spans="4:4" x14ac:dyDescent="0.3">
      <c r="D1717" s="348"/>
    </row>
    <row r="1718" spans="4:4" x14ac:dyDescent="0.3">
      <c r="D1718" s="348"/>
    </row>
    <row r="1719" spans="4:4" x14ac:dyDescent="0.3">
      <c r="D1719" s="348"/>
    </row>
    <row r="1720" spans="4:4" x14ac:dyDescent="0.3">
      <c r="D1720" s="348"/>
    </row>
    <row r="1721" spans="4:4" x14ac:dyDescent="0.3">
      <c r="D1721" s="348"/>
    </row>
    <row r="1722" spans="4:4" x14ac:dyDescent="0.3">
      <c r="D1722" s="348"/>
    </row>
    <row r="1723" spans="4:4" x14ac:dyDescent="0.3">
      <c r="D1723" s="348"/>
    </row>
    <row r="1724" spans="4:4" x14ac:dyDescent="0.3">
      <c r="D1724" s="348"/>
    </row>
    <row r="1725" spans="4:4" x14ac:dyDescent="0.3">
      <c r="D1725" s="348"/>
    </row>
    <row r="1726" spans="4:4" x14ac:dyDescent="0.3">
      <c r="D1726" s="348"/>
    </row>
    <row r="1727" spans="4:4" x14ac:dyDescent="0.3">
      <c r="D1727" s="348"/>
    </row>
    <row r="1728" spans="4:4" x14ac:dyDescent="0.3">
      <c r="D1728" s="348"/>
    </row>
    <row r="1729" spans="4:4" x14ac:dyDescent="0.3">
      <c r="D1729" s="348"/>
    </row>
    <row r="1730" spans="4:4" x14ac:dyDescent="0.3">
      <c r="D1730" s="348"/>
    </row>
    <row r="1731" spans="4:4" x14ac:dyDescent="0.3">
      <c r="D1731" s="348"/>
    </row>
    <row r="1732" spans="4:4" x14ac:dyDescent="0.3">
      <c r="D1732" s="348"/>
    </row>
    <row r="1733" spans="4:4" x14ac:dyDescent="0.3">
      <c r="D1733" s="348"/>
    </row>
    <row r="1734" spans="4:4" x14ac:dyDescent="0.3">
      <c r="D1734" s="348"/>
    </row>
    <row r="1735" spans="4:4" x14ac:dyDescent="0.3">
      <c r="D1735" s="348"/>
    </row>
    <row r="1736" spans="4:4" x14ac:dyDescent="0.3">
      <c r="D1736" s="348"/>
    </row>
    <row r="1737" spans="4:4" x14ac:dyDescent="0.3">
      <c r="D1737" s="348"/>
    </row>
    <row r="1738" spans="4:4" x14ac:dyDescent="0.3">
      <c r="D1738" s="348"/>
    </row>
    <row r="1739" spans="4:4" x14ac:dyDescent="0.3">
      <c r="D1739" s="348"/>
    </row>
    <row r="1740" spans="4:4" x14ac:dyDescent="0.3">
      <c r="D1740" s="348"/>
    </row>
    <row r="1741" spans="4:4" x14ac:dyDescent="0.3">
      <c r="D1741" s="348"/>
    </row>
    <row r="1742" spans="4:4" x14ac:dyDescent="0.3">
      <c r="D1742" s="348"/>
    </row>
    <row r="1743" spans="4:4" x14ac:dyDescent="0.3">
      <c r="D1743" s="348"/>
    </row>
    <row r="1744" spans="4:4" x14ac:dyDescent="0.3">
      <c r="D1744" s="348"/>
    </row>
    <row r="1745" spans="4:4" x14ac:dyDescent="0.3">
      <c r="D1745" s="348"/>
    </row>
    <row r="1746" spans="4:4" x14ac:dyDescent="0.3">
      <c r="D1746" s="348"/>
    </row>
    <row r="1747" spans="4:4" x14ac:dyDescent="0.3">
      <c r="D1747" s="348"/>
    </row>
    <row r="1748" spans="4:4" x14ac:dyDescent="0.3">
      <c r="D1748" s="348"/>
    </row>
    <row r="1749" spans="4:4" x14ac:dyDescent="0.3">
      <c r="D1749" s="348"/>
    </row>
    <row r="1750" spans="4:4" x14ac:dyDescent="0.3">
      <c r="D1750" s="348"/>
    </row>
    <row r="1751" spans="4:4" x14ac:dyDescent="0.3">
      <c r="D1751" s="348"/>
    </row>
    <row r="1752" spans="4:4" x14ac:dyDescent="0.3">
      <c r="D1752" s="348"/>
    </row>
    <row r="1753" spans="4:4" x14ac:dyDescent="0.3">
      <c r="D1753" s="348"/>
    </row>
    <row r="1754" spans="4:4" x14ac:dyDescent="0.3">
      <c r="D1754" s="348"/>
    </row>
    <row r="1755" spans="4:4" x14ac:dyDescent="0.3">
      <c r="D1755" s="348"/>
    </row>
    <row r="1756" spans="4:4" x14ac:dyDescent="0.3">
      <c r="D1756" s="348"/>
    </row>
    <row r="1757" spans="4:4" x14ac:dyDescent="0.3">
      <c r="D1757" s="348"/>
    </row>
    <row r="1758" spans="4:4" x14ac:dyDescent="0.3">
      <c r="D1758" s="348"/>
    </row>
    <row r="1759" spans="4:4" x14ac:dyDescent="0.3">
      <c r="D1759" s="348"/>
    </row>
    <row r="1760" spans="4:4" x14ac:dyDescent="0.3">
      <c r="D1760" s="348"/>
    </row>
    <row r="1761" spans="4:4" x14ac:dyDescent="0.3">
      <c r="D1761" s="348"/>
    </row>
    <row r="1762" spans="4:4" x14ac:dyDescent="0.3">
      <c r="D1762" s="348"/>
    </row>
    <row r="1763" spans="4:4" x14ac:dyDescent="0.3">
      <c r="D1763" s="348"/>
    </row>
    <row r="1764" spans="4:4" x14ac:dyDescent="0.3">
      <c r="D1764" s="348"/>
    </row>
    <row r="1765" spans="4:4" x14ac:dyDescent="0.3">
      <c r="D1765" s="348"/>
    </row>
    <row r="1766" spans="4:4" x14ac:dyDescent="0.3">
      <c r="D1766" s="348"/>
    </row>
    <row r="1767" spans="4:4" x14ac:dyDescent="0.3">
      <c r="D1767" s="348"/>
    </row>
    <row r="1768" spans="4:4" x14ac:dyDescent="0.3">
      <c r="D1768" s="348"/>
    </row>
    <row r="1769" spans="4:4" x14ac:dyDescent="0.3">
      <c r="D1769" s="348"/>
    </row>
    <row r="1770" spans="4:4" x14ac:dyDescent="0.3">
      <c r="D1770" s="348"/>
    </row>
    <row r="1771" spans="4:4" x14ac:dyDescent="0.3">
      <c r="D1771" s="348"/>
    </row>
    <row r="1772" spans="4:4" x14ac:dyDescent="0.3">
      <c r="D1772" s="348"/>
    </row>
    <row r="1773" spans="4:4" x14ac:dyDescent="0.3">
      <c r="D1773" s="348"/>
    </row>
    <row r="1774" spans="4:4" x14ac:dyDescent="0.3">
      <c r="D1774" s="348"/>
    </row>
    <row r="1775" spans="4:4" x14ac:dyDescent="0.3">
      <c r="D1775" s="348"/>
    </row>
    <row r="1776" spans="4:4" x14ac:dyDescent="0.3">
      <c r="D1776" s="348"/>
    </row>
    <row r="1777" spans="4:4" x14ac:dyDescent="0.3">
      <c r="D1777" s="348"/>
    </row>
    <row r="1778" spans="4:4" x14ac:dyDescent="0.3">
      <c r="D1778" s="348"/>
    </row>
    <row r="1779" spans="4:4" x14ac:dyDescent="0.3">
      <c r="D1779" s="348"/>
    </row>
    <row r="1780" spans="4:4" x14ac:dyDescent="0.3">
      <c r="D1780" s="348"/>
    </row>
    <row r="1781" spans="4:4" x14ac:dyDescent="0.3">
      <c r="D1781" s="348"/>
    </row>
    <row r="1782" spans="4:4" x14ac:dyDescent="0.3">
      <c r="D1782" s="348"/>
    </row>
    <row r="1783" spans="4:4" x14ac:dyDescent="0.3">
      <c r="D1783" s="348"/>
    </row>
    <row r="1784" spans="4:4" x14ac:dyDescent="0.3">
      <c r="D1784" s="348"/>
    </row>
    <row r="1785" spans="4:4" x14ac:dyDescent="0.3">
      <c r="D1785" s="348"/>
    </row>
    <row r="1786" spans="4:4" x14ac:dyDescent="0.3">
      <c r="D1786" s="348"/>
    </row>
    <row r="1787" spans="4:4" x14ac:dyDescent="0.3">
      <c r="D1787" s="348"/>
    </row>
    <row r="1788" spans="4:4" x14ac:dyDescent="0.3">
      <c r="D1788" s="348"/>
    </row>
    <row r="1789" spans="4:4" x14ac:dyDescent="0.3">
      <c r="D1789" s="348"/>
    </row>
    <row r="1790" spans="4:4" x14ac:dyDescent="0.3">
      <c r="D1790" s="348"/>
    </row>
    <row r="1791" spans="4:4" x14ac:dyDescent="0.3">
      <c r="D1791" s="348"/>
    </row>
    <row r="1792" spans="4:4" x14ac:dyDescent="0.3">
      <c r="D1792" s="348"/>
    </row>
    <row r="1793" spans="4:4" x14ac:dyDescent="0.3">
      <c r="D1793" s="348"/>
    </row>
    <row r="1794" spans="4:4" x14ac:dyDescent="0.3">
      <c r="D1794" s="348"/>
    </row>
    <row r="1795" spans="4:4" x14ac:dyDescent="0.3">
      <c r="D1795" s="348"/>
    </row>
    <row r="1796" spans="4:4" x14ac:dyDescent="0.3">
      <c r="D1796" s="348"/>
    </row>
    <row r="1797" spans="4:4" x14ac:dyDescent="0.3">
      <c r="D1797" s="348"/>
    </row>
    <row r="1798" spans="4:4" x14ac:dyDescent="0.3">
      <c r="D1798" s="348"/>
    </row>
    <row r="1799" spans="4:4" x14ac:dyDescent="0.3">
      <c r="D1799" s="348"/>
    </row>
    <row r="1800" spans="4:4" x14ac:dyDescent="0.3">
      <c r="D1800" s="348"/>
    </row>
    <row r="1801" spans="4:4" x14ac:dyDescent="0.3">
      <c r="D1801" s="348"/>
    </row>
    <row r="1802" spans="4:4" x14ac:dyDescent="0.3">
      <c r="D1802" s="348"/>
    </row>
    <row r="1803" spans="4:4" x14ac:dyDescent="0.3">
      <c r="D1803" s="348"/>
    </row>
    <row r="1804" spans="4:4" x14ac:dyDescent="0.3">
      <c r="D1804" s="348"/>
    </row>
    <row r="1805" spans="4:4" x14ac:dyDescent="0.3">
      <c r="D1805" s="348"/>
    </row>
    <row r="1806" spans="4:4" x14ac:dyDescent="0.3">
      <c r="D1806" s="348"/>
    </row>
    <row r="1807" spans="4:4" x14ac:dyDescent="0.3">
      <c r="D1807" s="348"/>
    </row>
    <row r="1808" spans="4:4" x14ac:dyDescent="0.3">
      <c r="D1808" s="348"/>
    </row>
    <row r="1809" spans="4:4" x14ac:dyDescent="0.3">
      <c r="D1809" s="348"/>
    </row>
    <row r="1810" spans="4:4" x14ac:dyDescent="0.3">
      <c r="D1810" s="348"/>
    </row>
    <row r="1811" spans="4:4" x14ac:dyDescent="0.3">
      <c r="D1811" s="348"/>
    </row>
    <row r="1812" spans="4:4" x14ac:dyDescent="0.3">
      <c r="D1812" s="348"/>
    </row>
    <row r="1813" spans="4:4" x14ac:dyDescent="0.3">
      <c r="D1813" s="348"/>
    </row>
    <row r="1814" spans="4:4" x14ac:dyDescent="0.3">
      <c r="D1814" s="348"/>
    </row>
    <row r="1815" spans="4:4" x14ac:dyDescent="0.3">
      <c r="D1815" s="348"/>
    </row>
    <row r="1816" spans="4:4" x14ac:dyDescent="0.3">
      <c r="D1816" s="348"/>
    </row>
    <row r="1817" spans="4:4" x14ac:dyDescent="0.3">
      <c r="D1817" s="348"/>
    </row>
    <row r="1818" spans="4:4" x14ac:dyDescent="0.3">
      <c r="D1818" s="348"/>
    </row>
    <row r="1819" spans="4:4" x14ac:dyDescent="0.3">
      <c r="D1819" s="348"/>
    </row>
    <row r="1820" spans="4:4" x14ac:dyDescent="0.3">
      <c r="D1820" s="348"/>
    </row>
    <row r="1821" spans="4:4" x14ac:dyDescent="0.3">
      <c r="D1821" s="348"/>
    </row>
    <row r="1822" spans="4:4" x14ac:dyDescent="0.3">
      <c r="D1822" s="348"/>
    </row>
    <row r="1823" spans="4:4" x14ac:dyDescent="0.3">
      <c r="D1823" s="348"/>
    </row>
    <row r="1824" spans="4:4" x14ac:dyDescent="0.3">
      <c r="D1824" s="348"/>
    </row>
    <row r="1825" spans="4:4" x14ac:dyDescent="0.3">
      <c r="D1825" s="348"/>
    </row>
    <row r="1826" spans="4:4" x14ac:dyDescent="0.3">
      <c r="D1826" s="348"/>
    </row>
    <row r="1827" spans="4:4" x14ac:dyDescent="0.3">
      <c r="D1827" s="348"/>
    </row>
    <row r="1828" spans="4:4" x14ac:dyDescent="0.3">
      <c r="D1828" s="348"/>
    </row>
    <row r="1829" spans="4:4" x14ac:dyDescent="0.3">
      <c r="D1829" s="348"/>
    </row>
    <row r="1830" spans="4:4" x14ac:dyDescent="0.3">
      <c r="D1830" s="348"/>
    </row>
    <row r="1831" spans="4:4" x14ac:dyDescent="0.3">
      <c r="D1831" s="348"/>
    </row>
    <row r="1832" spans="4:4" x14ac:dyDescent="0.3">
      <c r="D1832" s="348"/>
    </row>
    <row r="1833" spans="4:4" x14ac:dyDescent="0.3">
      <c r="D1833" s="348"/>
    </row>
    <row r="1834" spans="4:4" x14ac:dyDescent="0.3">
      <c r="D1834" s="348"/>
    </row>
    <row r="1835" spans="4:4" x14ac:dyDescent="0.3">
      <c r="D1835" s="348"/>
    </row>
    <row r="1836" spans="4:4" x14ac:dyDescent="0.3">
      <c r="D1836" s="348"/>
    </row>
    <row r="1837" spans="4:4" x14ac:dyDescent="0.3">
      <c r="D1837" s="348"/>
    </row>
    <row r="1838" spans="4:4" x14ac:dyDescent="0.3">
      <c r="D1838" s="348"/>
    </row>
    <row r="1839" spans="4:4" x14ac:dyDescent="0.3">
      <c r="D1839" s="348"/>
    </row>
    <row r="1840" spans="4:4" x14ac:dyDescent="0.3">
      <c r="D1840" s="348"/>
    </row>
    <row r="1841" spans="4:4" x14ac:dyDescent="0.3">
      <c r="D1841" s="348"/>
    </row>
    <row r="1842" spans="4:4" x14ac:dyDescent="0.3">
      <c r="D1842" s="348"/>
    </row>
    <row r="1843" spans="4:4" x14ac:dyDescent="0.3">
      <c r="D1843" s="348"/>
    </row>
    <row r="1844" spans="4:4" x14ac:dyDescent="0.3">
      <c r="D1844" s="348"/>
    </row>
    <row r="1845" spans="4:4" x14ac:dyDescent="0.3">
      <c r="D1845" s="348"/>
    </row>
    <row r="1846" spans="4:4" x14ac:dyDescent="0.3">
      <c r="D1846" s="348"/>
    </row>
    <row r="1847" spans="4:4" x14ac:dyDescent="0.3">
      <c r="D1847" s="348"/>
    </row>
    <row r="1848" spans="4:4" x14ac:dyDescent="0.3">
      <c r="D1848" s="348"/>
    </row>
    <row r="1849" spans="4:4" x14ac:dyDescent="0.3">
      <c r="D1849" s="348"/>
    </row>
    <row r="1850" spans="4:4" x14ac:dyDescent="0.3">
      <c r="D1850" s="348"/>
    </row>
    <row r="1851" spans="4:4" x14ac:dyDescent="0.3">
      <c r="D1851" s="348"/>
    </row>
    <row r="1852" spans="4:4" x14ac:dyDescent="0.3">
      <c r="D1852" s="348"/>
    </row>
    <row r="1853" spans="4:4" x14ac:dyDescent="0.3">
      <c r="D1853" s="348"/>
    </row>
    <row r="1854" spans="4:4" x14ac:dyDescent="0.3">
      <c r="D1854" s="348"/>
    </row>
    <row r="1855" spans="4:4" x14ac:dyDescent="0.3">
      <c r="D1855" s="348"/>
    </row>
    <row r="1856" spans="4:4" x14ac:dyDescent="0.3">
      <c r="D1856" s="348"/>
    </row>
    <row r="1857" spans="4:4" x14ac:dyDescent="0.3">
      <c r="D1857" s="348"/>
    </row>
    <row r="1858" spans="4:4" x14ac:dyDescent="0.3">
      <c r="D1858" s="348"/>
    </row>
    <row r="1859" spans="4:4" x14ac:dyDescent="0.3">
      <c r="D1859" s="348"/>
    </row>
    <row r="1860" spans="4:4" x14ac:dyDescent="0.3">
      <c r="D1860" s="348"/>
    </row>
    <row r="1861" spans="4:4" x14ac:dyDescent="0.3">
      <c r="D1861" s="348"/>
    </row>
    <row r="1862" spans="4:4" x14ac:dyDescent="0.3">
      <c r="D1862" s="348"/>
    </row>
    <row r="1863" spans="4:4" x14ac:dyDescent="0.3">
      <c r="D1863" s="348"/>
    </row>
    <row r="1864" spans="4:4" x14ac:dyDescent="0.3">
      <c r="D1864" s="348"/>
    </row>
    <row r="1865" spans="4:4" x14ac:dyDescent="0.3">
      <c r="D1865" s="348"/>
    </row>
    <row r="1866" spans="4:4" x14ac:dyDescent="0.3">
      <c r="D1866" s="348"/>
    </row>
    <row r="1867" spans="4:4" x14ac:dyDescent="0.3">
      <c r="D1867" s="348"/>
    </row>
    <row r="1868" spans="4:4" x14ac:dyDescent="0.3">
      <c r="D1868" s="348"/>
    </row>
    <row r="1869" spans="4:4" x14ac:dyDescent="0.3">
      <c r="D1869" s="348"/>
    </row>
    <row r="1870" spans="4:4" x14ac:dyDescent="0.3">
      <c r="D1870" s="348"/>
    </row>
    <row r="1871" spans="4:4" x14ac:dyDescent="0.3">
      <c r="D1871" s="348"/>
    </row>
    <row r="1872" spans="4:4" x14ac:dyDescent="0.3">
      <c r="D1872" s="348"/>
    </row>
    <row r="1873" spans="4:4" x14ac:dyDescent="0.3">
      <c r="D1873" s="348"/>
    </row>
    <row r="1874" spans="4:4" x14ac:dyDescent="0.3">
      <c r="D1874" s="348"/>
    </row>
    <row r="1875" spans="4:4" x14ac:dyDescent="0.3">
      <c r="D1875" s="348"/>
    </row>
    <row r="1876" spans="4:4" x14ac:dyDescent="0.3">
      <c r="D1876" s="348"/>
    </row>
    <row r="1877" spans="4:4" x14ac:dyDescent="0.3">
      <c r="D1877" s="348"/>
    </row>
    <row r="1878" spans="4:4" x14ac:dyDescent="0.3">
      <c r="D1878" s="348"/>
    </row>
    <row r="1879" spans="4:4" x14ac:dyDescent="0.3">
      <c r="D1879" s="348"/>
    </row>
    <row r="1880" spans="4:4" x14ac:dyDescent="0.3">
      <c r="D1880" s="348"/>
    </row>
    <row r="1881" spans="4:4" x14ac:dyDescent="0.3">
      <c r="D1881" s="348"/>
    </row>
    <row r="1882" spans="4:4" x14ac:dyDescent="0.3">
      <c r="D1882" s="348"/>
    </row>
    <row r="1883" spans="4:4" x14ac:dyDescent="0.3">
      <c r="D1883" s="348"/>
    </row>
    <row r="1884" spans="4:4" x14ac:dyDescent="0.3">
      <c r="D1884" s="348"/>
    </row>
    <row r="1885" spans="4:4" x14ac:dyDescent="0.3">
      <c r="D1885" s="348"/>
    </row>
    <row r="1886" spans="4:4" x14ac:dyDescent="0.3">
      <c r="D1886" s="348"/>
    </row>
    <row r="1887" spans="4:4" x14ac:dyDescent="0.3">
      <c r="D1887" s="348"/>
    </row>
    <row r="1888" spans="4:4" x14ac:dyDescent="0.3">
      <c r="D1888" s="348"/>
    </row>
    <row r="1889" spans="4:4" x14ac:dyDescent="0.3">
      <c r="D1889" s="348"/>
    </row>
    <row r="1890" spans="4:4" x14ac:dyDescent="0.3">
      <c r="D1890" s="348"/>
    </row>
    <row r="1891" spans="4:4" x14ac:dyDescent="0.3">
      <c r="D1891" s="348"/>
    </row>
    <row r="1892" spans="4:4" x14ac:dyDescent="0.3">
      <c r="D1892" s="348"/>
    </row>
    <row r="1893" spans="4:4" x14ac:dyDescent="0.3">
      <c r="D1893" s="348"/>
    </row>
    <row r="1894" spans="4:4" x14ac:dyDescent="0.3">
      <c r="D1894" s="348"/>
    </row>
    <row r="1895" spans="4:4" x14ac:dyDescent="0.3">
      <c r="D1895" s="348"/>
    </row>
    <row r="1896" spans="4:4" x14ac:dyDescent="0.3">
      <c r="D1896" s="348"/>
    </row>
    <row r="1897" spans="4:4" x14ac:dyDescent="0.3">
      <c r="D1897" s="348"/>
    </row>
    <row r="1898" spans="4:4" x14ac:dyDescent="0.3">
      <c r="D1898" s="348"/>
    </row>
    <row r="1899" spans="4:4" x14ac:dyDescent="0.3">
      <c r="D1899" s="348"/>
    </row>
    <row r="1900" spans="4:4" x14ac:dyDescent="0.3">
      <c r="D1900" s="348"/>
    </row>
    <row r="1901" spans="4:4" x14ac:dyDescent="0.3">
      <c r="D1901" s="348"/>
    </row>
    <row r="1902" spans="4:4" x14ac:dyDescent="0.3">
      <c r="D1902" s="348"/>
    </row>
    <row r="1903" spans="4:4" x14ac:dyDescent="0.3">
      <c r="D1903" s="348"/>
    </row>
    <row r="1904" spans="4:4" x14ac:dyDescent="0.3">
      <c r="D1904" s="348"/>
    </row>
    <row r="1905" spans="4:4" x14ac:dyDescent="0.3">
      <c r="D1905" s="348"/>
    </row>
    <row r="1906" spans="4:4" x14ac:dyDescent="0.3">
      <c r="D1906" s="348"/>
    </row>
    <row r="1907" spans="4:4" x14ac:dyDescent="0.3">
      <c r="D1907" s="348"/>
    </row>
    <row r="1908" spans="4:4" x14ac:dyDescent="0.3">
      <c r="D1908" s="348"/>
    </row>
    <row r="1909" spans="4:4" x14ac:dyDescent="0.3">
      <c r="D1909" s="348"/>
    </row>
    <row r="1910" spans="4:4" x14ac:dyDescent="0.3">
      <c r="D1910" s="348"/>
    </row>
    <row r="1911" spans="4:4" x14ac:dyDescent="0.3">
      <c r="D1911" s="348"/>
    </row>
    <row r="1912" spans="4:4" x14ac:dyDescent="0.3">
      <c r="D1912" s="348"/>
    </row>
    <row r="1913" spans="4:4" x14ac:dyDescent="0.3">
      <c r="D1913" s="348"/>
    </row>
    <row r="1914" spans="4:4" x14ac:dyDescent="0.3">
      <c r="D1914" s="348"/>
    </row>
    <row r="1915" spans="4:4" x14ac:dyDescent="0.3">
      <c r="D1915" s="348"/>
    </row>
    <row r="1916" spans="4:4" x14ac:dyDescent="0.3">
      <c r="D1916" s="348"/>
    </row>
    <row r="1917" spans="4:4" x14ac:dyDescent="0.3">
      <c r="D1917" s="348"/>
    </row>
    <row r="1918" spans="4:4" x14ac:dyDescent="0.3">
      <c r="D1918" s="348"/>
    </row>
    <row r="1919" spans="4:4" x14ac:dyDescent="0.3">
      <c r="D1919" s="348"/>
    </row>
    <row r="1920" spans="4:4" x14ac:dyDescent="0.3">
      <c r="D1920" s="348"/>
    </row>
    <row r="1921" spans="4:4" x14ac:dyDescent="0.3">
      <c r="D1921" s="348"/>
    </row>
    <row r="1922" spans="4:4" x14ac:dyDescent="0.3">
      <c r="D1922" s="348"/>
    </row>
    <row r="1923" spans="4:4" x14ac:dyDescent="0.3">
      <c r="D1923" s="348"/>
    </row>
    <row r="1924" spans="4:4" x14ac:dyDescent="0.3">
      <c r="D1924" s="348"/>
    </row>
    <row r="1925" spans="4:4" x14ac:dyDescent="0.3">
      <c r="D1925" s="348"/>
    </row>
    <row r="1926" spans="4:4" x14ac:dyDescent="0.3">
      <c r="D1926" s="348"/>
    </row>
    <row r="1927" spans="4:4" x14ac:dyDescent="0.3">
      <c r="D1927" s="348"/>
    </row>
    <row r="1928" spans="4:4" x14ac:dyDescent="0.3">
      <c r="D1928" s="348"/>
    </row>
    <row r="1929" spans="4:4" x14ac:dyDescent="0.3">
      <c r="D1929" s="348"/>
    </row>
    <row r="1930" spans="4:4" x14ac:dyDescent="0.3">
      <c r="D1930" s="348"/>
    </row>
    <row r="1931" spans="4:4" x14ac:dyDescent="0.3">
      <c r="D1931" s="348"/>
    </row>
    <row r="1932" spans="4:4" x14ac:dyDescent="0.3">
      <c r="D1932" s="348"/>
    </row>
    <row r="1933" spans="4:4" x14ac:dyDescent="0.3">
      <c r="D1933" s="348"/>
    </row>
    <row r="1934" spans="4:4" x14ac:dyDescent="0.3">
      <c r="D1934" s="348"/>
    </row>
    <row r="1935" spans="4:4" x14ac:dyDescent="0.3">
      <c r="D1935" s="348"/>
    </row>
    <row r="1936" spans="4:4" x14ac:dyDescent="0.3">
      <c r="D1936" s="348"/>
    </row>
    <row r="1937" spans="4:4" x14ac:dyDescent="0.3">
      <c r="D1937" s="348"/>
    </row>
    <row r="1938" spans="4:4" x14ac:dyDescent="0.3">
      <c r="D1938" s="348"/>
    </row>
    <row r="1939" spans="4:4" x14ac:dyDescent="0.3">
      <c r="D1939" s="348"/>
    </row>
    <row r="1940" spans="4:4" x14ac:dyDescent="0.3">
      <c r="D1940" s="348"/>
    </row>
    <row r="1941" spans="4:4" x14ac:dyDescent="0.3">
      <c r="D1941" s="348"/>
    </row>
    <row r="1942" spans="4:4" x14ac:dyDescent="0.3">
      <c r="D1942" s="348"/>
    </row>
    <row r="1943" spans="4:4" x14ac:dyDescent="0.3">
      <c r="D1943" s="348"/>
    </row>
    <row r="1944" spans="4:4" x14ac:dyDescent="0.3">
      <c r="D1944" s="348"/>
    </row>
    <row r="1945" spans="4:4" x14ac:dyDescent="0.3">
      <c r="D1945" s="348"/>
    </row>
    <row r="1946" spans="4:4" x14ac:dyDescent="0.3">
      <c r="D1946" s="348"/>
    </row>
    <row r="1947" spans="4:4" x14ac:dyDescent="0.3">
      <c r="D1947" s="348"/>
    </row>
    <row r="1948" spans="4:4" x14ac:dyDescent="0.3">
      <c r="D1948" s="348"/>
    </row>
    <row r="1949" spans="4:4" x14ac:dyDescent="0.3">
      <c r="D1949" s="348"/>
    </row>
    <row r="1950" spans="4:4" x14ac:dyDescent="0.3">
      <c r="D1950" s="348"/>
    </row>
    <row r="1951" spans="4:4" x14ac:dyDescent="0.3">
      <c r="D1951" s="348"/>
    </row>
    <row r="1952" spans="4:4" x14ac:dyDescent="0.3">
      <c r="D1952" s="348"/>
    </row>
    <row r="1953" spans="4:4" x14ac:dyDescent="0.3">
      <c r="D1953" s="348"/>
    </row>
    <row r="1954" spans="4:4" x14ac:dyDescent="0.3">
      <c r="D1954" s="348"/>
    </row>
    <row r="1955" spans="4:4" x14ac:dyDescent="0.3">
      <c r="D1955" s="348"/>
    </row>
    <row r="1956" spans="4:4" x14ac:dyDescent="0.3">
      <c r="D1956" s="348"/>
    </row>
    <row r="1957" spans="4:4" x14ac:dyDescent="0.3">
      <c r="D1957" s="348"/>
    </row>
    <row r="1958" spans="4:4" x14ac:dyDescent="0.3">
      <c r="D1958" s="348"/>
    </row>
    <row r="1959" spans="4:4" x14ac:dyDescent="0.3">
      <c r="D1959" s="348"/>
    </row>
    <row r="1960" spans="4:4" x14ac:dyDescent="0.3">
      <c r="D1960" s="348"/>
    </row>
    <row r="1961" spans="4:4" x14ac:dyDescent="0.3">
      <c r="D1961" s="348"/>
    </row>
    <row r="1962" spans="4:4" x14ac:dyDescent="0.3">
      <c r="D1962" s="348"/>
    </row>
    <row r="1963" spans="4:4" x14ac:dyDescent="0.3">
      <c r="D1963" s="348"/>
    </row>
    <row r="1964" spans="4:4" x14ac:dyDescent="0.3">
      <c r="D1964" s="348"/>
    </row>
    <row r="1965" spans="4:4" x14ac:dyDescent="0.3">
      <c r="D1965" s="348"/>
    </row>
    <row r="1966" spans="4:4" x14ac:dyDescent="0.3">
      <c r="D1966" s="348"/>
    </row>
    <row r="1967" spans="4:4" x14ac:dyDescent="0.3">
      <c r="D1967" s="348"/>
    </row>
    <row r="1968" spans="4:4" x14ac:dyDescent="0.3">
      <c r="D1968" s="348"/>
    </row>
    <row r="1969" spans="4:4" x14ac:dyDescent="0.3">
      <c r="D1969" s="348"/>
    </row>
    <row r="1970" spans="4:4" x14ac:dyDescent="0.3">
      <c r="D1970" s="348"/>
    </row>
    <row r="1971" spans="4:4" x14ac:dyDescent="0.3">
      <c r="D1971" s="348"/>
    </row>
    <row r="1972" spans="4:4" x14ac:dyDescent="0.3">
      <c r="D1972" s="348"/>
    </row>
    <row r="1973" spans="4:4" x14ac:dyDescent="0.3">
      <c r="D1973" s="348"/>
    </row>
    <row r="1974" spans="4:4" x14ac:dyDescent="0.3">
      <c r="D1974" s="348"/>
    </row>
    <row r="1975" spans="4:4" x14ac:dyDescent="0.3">
      <c r="D1975" s="348"/>
    </row>
    <row r="1976" spans="4:4" x14ac:dyDescent="0.3">
      <c r="D1976" s="348"/>
    </row>
    <row r="1977" spans="4:4" x14ac:dyDescent="0.3">
      <c r="D1977" s="348"/>
    </row>
    <row r="1978" spans="4:4" x14ac:dyDescent="0.3">
      <c r="D1978" s="348"/>
    </row>
    <row r="1979" spans="4:4" x14ac:dyDescent="0.3">
      <c r="D1979" s="348"/>
    </row>
    <row r="1980" spans="4:4" x14ac:dyDescent="0.3">
      <c r="D1980" s="348"/>
    </row>
    <row r="1981" spans="4:4" x14ac:dyDescent="0.3">
      <c r="D1981" s="348"/>
    </row>
    <row r="1982" spans="4:4" x14ac:dyDescent="0.3">
      <c r="D1982" s="348"/>
    </row>
    <row r="1983" spans="4:4" x14ac:dyDescent="0.3">
      <c r="D1983" s="348"/>
    </row>
    <row r="1984" spans="4:4" x14ac:dyDescent="0.3">
      <c r="D1984" s="348"/>
    </row>
    <row r="1985" spans="4:4" x14ac:dyDescent="0.3">
      <c r="D1985" s="348"/>
    </row>
    <row r="1986" spans="4:4" x14ac:dyDescent="0.3">
      <c r="D1986" s="348"/>
    </row>
    <row r="1987" spans="4:4" x14ac:dyDescent="0.3">
      <c r="D1987" s="348"/>
    </row>
    <row r="1988" spans="4:4" x14ac:dyDescent="0.3">
      <c r="D1988" s="348"/>
    </row>
    <row r="1989" spans="4:4" x14ac:dyDescent="0.3">
      <c r="D1989" s="348"/>
    </row>
    <row r="1990" spans="4:4" x14ac:dyDescent="0.3">
      <c r="D1990" s="348"/>
    </row>
    <row r="1991" spans="4:4" x14ac:dyDescent="0.3">
      <c r="D1991" s="348"/>
    </row>
    <row r="1992" spans="4:4" x14ac:dyDescent="0.3">
      <c r="D1992" s="348"/>
    </row>
    <row r="1993" spans="4:4" x14ac:dyDescent="0.3">
      <c r="D1993" s="348"/>
    </row>
    <row r="1994" spans="4:4" x14ac:dyDescent="0.3">
      <c r="D1994" s="348"/>
    </row>
    <row r="1995" spans="4:4" x14ac:dyDescent="0.3">
      <c r="D1995" s="348"/>
    </row>
    <row r="1996" spans="4:4" x14ac:dyDescent="0.3">
      <c r="D1996" s="348"/>
    </row>
    <row r="1997" spans="4:4" x14ac:dyDescent="0.3">
      <c r="D1997" s="348"/>
    </row>
    <row r="1998" spans="4:4" x14ac:dyDescent="0.3">
      <c r="D1998" s="348"/>
    </row>
    <row r="1999" spans="4:4" x14ac:dyDescent="0.3">
      <c r="D1999" s="348"/>
    </row>
    <row r="2000" spans="4:4" x14ac:dyDescent="0.3">
      <c r="D2000" s="348"/>
    </row>
    <row r="2001" spans="4:4" x14ac:dyDescent="0.3">
      <c r="D2001" s="348"/>
    </row>
    <row r="2002" spans="4:4" x14ac:dyDescent="0.3">
      <c r="D2002" s="348"/>
    </row>
    <row r="2003" spans="4:4" x14ac:dyDescent="0.3">
      <c r="D2003" s="348"/>
    </row>
    <row r="2004" spans="4:4" x14ac:dyDescent="0.3">
      <c r="D2004" s="348"/>
    </row>
    <row r="2005" spans="4:4" x14ac:dyDescent="0.3">
      <c r="D2005" s="348"/>
    </row>
    <row r="2006" spans="4:4" x14ac:dyDescent="0.3">
      <c r="D2006" s="348"/>
    </row>
    <row r="2007" spans="4:4" x14ac:dyDescent="0.3">
      <c r="D2007" s="348"/>
    </row>
    <row r="2008" spans="4:4" x14ac:dyDescent="0.3">
      <c r="D2008" s="348"/>
    </row>
    <row r="2009" spans="4:4" x14ac:dyDescent="0.3">
      <c r="D2009" s="348"/>
    </row>
    <row r="2010" spans="4:4" x14ac:dyDescent="0.3">
      <c r="D2010" s="348"/>
    </row>
    <row r="2011" spans="4:4" x14ac:dyDescent="0.3">
      <c r="D2011" s="348"/>
    </row>
    <row r="2012" spans="4:4" x14ac:dyDescent="0.3">
      <c r="D2012" s="348"/>
    </row>
    <row r="2013" spans="4:4" x14ac:dyDescent="0.3">
      <c r="D2013" s="348"/>
    </row>
    <row r="2014" spans="4:4" x14ac:dyDescent="0.3">
      <c r="D2014" s="348"/>
    </row>
    <row r="2015" spans="4:4" x14ac:dyDescent="0.3">
      <c r="D2015" s="348"/>
    </row>
    <row r="2016" spans="4:4" x14ac:dyDescent="0.3">
      <c r="D2016" s="348"/>
    </row>
    <row r="2017" spans="4:4" x14ac:dyDescent="0.3">
      <c r="D2017" s="348"/>
    </row>
    <row r="2018" spans="4:4" x14ac:dyDescent="0.3">
      <c r="D2018" s="348"/>
    </row>
    <row r="2019" spans="4:4" x14ac:dyDescent="0.3">
      <c r="D2019" s="348"/>
    </row>
    <row r="2020" spans="4:4" x14ac:dyDescent="0.3">
      <c r="D2020" s="348"/>
    </row>
    <row r="2021" spans="4:4" x14ac:dyDescent="0.3">
      <c r="D2021" s="348"/>
    </row>
    <row r="2022" spans="4:4" x14ac:dyDescent="0.3">
      <c r="D2022" s="348"/>
    </row>
    <row r="2023" spans="4:4" x14ac:dyDescent="0.3">
      <c r="D2023" s="348"/>
    </row>
    <row r="2024" spans="4:4" x14ac:dyDescent="0.3">
      <c r="D2024" s="348"/>
    </row>
    <row r="2025" spans="4:4" x14ac:dyDescent="0.3">
      <c r="D2025" s="348"/>
    </row>
    <row r="2026" spans="4:4" x14ac:dyDescent="0.3">
      <c r="D2026" s="348"/>
    </row>
    <row r="2027" spans="4:4" x14ac:dyDescent="0.3">
      <c r="D2027" s="348"/>
    </row>
    <row r="2028" spans="4:4" x14ac:dyDescent="0.3">
      <c r="D2028" s="348"/>
    </row>
    <row r="2029" spans="4:4" x14ac:dyDescent="0.3">
      <c r="D2029" s="348"/>
    </row>
    <row r="2030" spans="4:4" x14ac:dyDescent="0.3">
      <c r="D2030" s="348"/>
    </row>
    <row r="2031" spans="4:4" x14ac:dyDescent="0.3">
      <c r="D2031" s="348"/>
    </row>
    <row r="2032" spans="4:4" x14ac:dyDescent="0.3">
      <c r="D2032" s="348"/>
    </row>
    <row r="2033" spans="4:4" x14ac:dyDescent="0.3">
      <c r="D2033" s="348"/>
    </row>
    <row r="2034" spans="4:4" x14ac:dyDescent="0.3">
      <c r="D2034" s="348"/>
    </row>
    <row r="2035" spans="4:4" x14ac:dyDescent="0.3">
      <c r="D2035" s="348"/>
    </row>
    <row r="2036" spans="4:4" x14ac:dyDescent="0.3">
      <c r="D2036" s="348"/>
    </row>
    <row r="2037" spans="4:4" x14ac:dyDescent="0.3">
      <c r="D2037" s="348"/>
    </row>
    <row r="2038" spans="4:4" x14ac:dyDescent="0.3">
      <c r="D2038" s="348"/>
    </row>
    <row r="2039" spans="4:4" x14ac:dyDescent="0.3">
      <c r="D2039" s="348"/>
    </row>
    <row r="2040" spans="4:4" x14ac:dyDescent="0.3">
      <c r="D2040" s="348"/>
    </row>
    <row r="2041" spans="4:4" x14ac:dyDescent="0.3">
      <c r="D2041" s="348"/>
    </row>
    <row r="2042" spans="4:4" x14ac:dyDescent="0.3">
      <c r="D2042" s="348"/>
    </row>
    <row r="2043" spans="4:4" x14ac:dyDescent="0.3">
      <c r="D2043" s="348"/>
    </row>
    <row r="2044" spans="4:4" x14ac:dyDescent="0.3">
      <c r="D2044" s="348"/>
    </row>
    <row r="2045" spans="4:4" x14ac:dyDescent="0.3">
      <c r="D2045" s="348"/>
    </row>
    <row r="2046" spans="4:4" x14ac:dyDescent="0.3">
      <c r="D2046" s="348"/>
    </row>
    <row r="2047" spans="4:4" x14ac:dyDescent="0.3">
      <c r="D2047" s="348"/>
    </row>
    <row r="2048" spans="4:4" x14ac:dyDescent="0.3">
      <c r="D2048" s="348"/>
    </row>
    <row r="2049" spans="4:4" x14ac:dyDescent="0.3">
      <c r="D2049" s="348"/>
    </row>
    <row r="2050" spans="4:4" x14ac:dyDescent="0.3">
      <c r="D2050" s="348"/>
    </row>
    <row r="2051" spans="4:4" x14ac:dyDescent="0.3">
      <c r="D2051" s="348"/>
    </row>
    <row r="2052" spans="4:4" x14ac:dyDescent="0.3">
      <c r="D2052" s="348"/>
    </row>
    <row r="2053" spans="4:4" x14ac:dyDescent="0.3">
      <c r="D2053" s="348"/>
    </row>
    <row r="2054" spans="4:4" x14ac:dyDescent="0.3">
      <c r="D2054" s="348"/>
    </row>
    <row r="2055" spans="4:4" x14ac:dyDescent="0.3">
      <c r="D2055" s="348"/>
    </row>
    <row r="2056" spans="4:4" x14ac:dyDescent="0.3">
      <c r="D2056" s="348"/>
    </row>
    <row r="2057" spans="4:4" x14ac:dyDescent="0.3">
      <c r="D2057" s="348"/>
    </row>
    <row r="2058" spans="4:4" x14ac:dyDescent="0.3">
      <c r="D2058" s="348"/>
    </row>
    <row r="2059" spans="4:4" x14ac:dyDescent="0.3">
      <c r="D2059" s="348"/>
    </row>
    <row r="2060" spans="4:4" x14ac:dyDescent="0.3">
      <c r="D2060" s="348"/>
    </row>
    <row r="2061" spans="4:4" x14ac:dyDescent="0.3">
      <c r="D2061" s="348"/>
    </row>
    <row r="2062" spans="4:4" x14ac:dyDescent="0.3">
      <c r="D2062" s="348"/>
    </row>
    <row r="2063" spans="4:4" x14ac:dyDescent="0.3">
      <c r="D2063" s="348"/>
    </row>
    <row r="2064" spans="4:4" x14ac:dyDescent="0.3">
      <c r="D2064" s="348"/>
    </row>
    <row r="2065" spans="4:4" x14ac:dyDescent="0.3">
      <c r="D2065" s="348"/>
    </row>
    <row r="2066" spans="4:4" x14ac:dyDescent="0.3">
      <c r="D2066" s="348"/>
    </row>
    <row r="2067" spans="4:4" x14ac:dyDescent="0.3">
      <c r="D2067" s="348"/>
    </row>
    <row r="2068" spans="4:4" x14ac:dyDescent="0.3">
      <c r="D2068" s="348"/>
    </row>
    <row r="2069" spans="4:4" x14ac:dyDescent="0.3">
      <c r="D2069" s="348"/>
    </row>
    <row r="2070" spans="4:4" x14ac:dyDescent="0.3">
      <c r="D2070" s="348"/>
    </row>
    <row r="2071" spans="4:4" x14ac:dyDescent="0.3">
      <c r="D2071" s="348"/>
    </row>
    <row r="2072" spans="4:4" x14ac:dyDescent="0.3">
      <c r="D2072" s="348"/>
    </row>
    <row r="2073" spans="4:4" x14ac:dyDescent="0.3">
      <c r="D2073" s="348"/>
    </row>
    <row r="2074" spans="4:4" x14ac:dyDescent="0.3">
      <c r="D2074" s="348"/>
    </row>
    <row r="2075" spans="4:4" x14ac:dyDescent="0.3">
      <c r="D2075" s="348"/>
    </row>
    <row r="2076" spans="4:4" x14ac:dyDescent="0.3">
      <c r="D2076" s="348"/>
    </row>
    <row r="2077" spans="4:4" x14ac:dyDescent="0.3">
      <c r="D2077" s="348"/>
    </row>
    <row r="2078" spans="4:4" x14ac:dyDescent="0.3">
      <c r="D2078" s="348"/>
    </row>
    <row r="2079" spans="4:4" x14ac:dyDescent="0.3">
      <c r="D2079" s="348"/>
    </row>
    <row r="2080" spans="4:4" x14ac:dyDescent="0.3">
      <c r="D2080" s="348"/>
    </row>
    <row r="2081" spans="4:4" x14ac:dyDescent="0.3">
      <c r="D2081" s="348"/>
    </row>
    <row r="2082" spans="4:4" x14ac:dyDescent="0.3">
      <c r="D2082" s="348"/>
    </row>
    <row r="2083" spans="4:4" x14ac:dyDescent="0.3">
      <c r="D2083" s="348"/>
    </row>
    <row r="2084" spans="4:4" x14ac:dyDescent="0.3">
      <c r="D2084" s="348"/>
    </row>
    <row r="2085" spans="4:4" x14ac:dyDescent="0.3">
      <c r="D2085" s="348"/>
    </row>
    <row r="2086" spans="4:4" x14ac:dyDescent="0.3">
      <c r="D2086" s="348"/>
    </row>
    <row r="2087" spans="4:4" x14ac:dyDescent="0.3">
      <c r="D2087" s="348"/>
    </row>
    <row r="2088" spans="4:4" x14ac:dyDescent="0.3">
      <c r="D2088" s="348"/>
    </row>
    <row r="2089" spans="4:4" x14ac:dyDescent="0.3">
      <c r="D2089" s="348"/>
    </row>
    <row r="2090" spans="4:4" x14ac:dyDescent="0.3">
      <c r="D2090" s="348"/>
    </row>
    <row r="2091" spans="4:4" x14ac:dyDescent="0.3">
      <c r="D2091" s="348"/>
    </row>
    <row r="2092" spans="4:4" x14ac:dyDescent="0.3">
      <c r="D2092" s="348"/>
    </row>
    <row r="2093" spans="4:4" x14ac:dyDescent="0.3">
      <c r="D2093" s="348"/>
    </row>
    <row r="2094" spans="4:4" x14ac:dyDescent="0.3">
      <c r="D2094" s="348"/>
    </row>
    <row r="2095" spans="4:4" x14ac:dyDescent="0.3">
      <c r="D2095" s="348"/>
    </row>
    <row r="2096" spans="4:4" x14ac:dyDescent="0.3">
      <c r="D2096" s="348"/>
    </row>
    <row r="2097" spans="4:4" x14ac:dyDescent="0.3">
      <c r="D2097" s="348"/>
    </row>
    <row r="2098" spans="4:4" x14ac:dyDescent="0.3">
      <c r="D2098" s="348"/>
    </row>
    <row r="2099" spans="4:4" x14ac:dyDescent="0.3">
      <c r="D2099" s="348"/>
    </row>
    <row r="2100" spans="4:4" x14ac:dyDescent="0.3">
      <c r="D2100" s="348"/>
    </row>
    <row r="2101" spans="4:4" x14ac:dyDescent="0.3">
      <c r="D2101" s="348"/>
    </row>
    <row r="2102" spans="4:4" x14ac:dyDescent="0.3">
      <c r="D2102" s="348"/>
    </row>
    <row r="2103" spans="4:4" x14ac:dyDescent="0.3">
      <c r="D2103" s="348"/>
    </row>
    <row r="2104" spans="4:4" x14ac:dyDescent="0.3">
      <c r="D2104" s="348"/>
    </row>
    <row r="2105" spans="4:4" x14ac:dyDescent="0.3">
      <c r="D2105" s="348"/>
    </row>
    <row r="2106" spans="4:4" x14ac:dyDescent="0.3">
      <c r="D2106" s="348"/>
    </row>
    <row r="2107" spans="4:4" x14ac:dyDescent="0.3">
      <c r="D2107" s="348"/>
    </row>
    <row r="2108" spans="4:4" x14ac:dyDescent="0.3">
      <c r="D2108" s="348"/>
    </row>
    <row r="2109" spans="4:4" x14ac:dyDescent="0.3">
      <c r="D2109" s="348"/>
    </row>
    <row r="2110" spans="4:4" x14ac:dyDescent="0.3">
      <c r="D2110" s="348"/>
    </row>
    <row r="2111" spans="4:4" x14ac:dyDescent="0.3">
      <c r="D2111" s="348"/>
    </row>
    <row r="2112" spans="4:4" x14ac:dyDescent="0.3">
      <c r="D2112" s="348"/>
    </row>
    <row r="2113" spans="4:4" x14ac:dyDescent="0.3">
      <c r="D2113" s="348"/>
    </row>
    <row r="2114" spans="4:4" x14ac:dyDescent="0.3">
      <c r="D2114" s="348"/>
    </row>
    <row r="2115" spans="4:4" x14ac:dyDescent="0.3">
      <c r="D2115" s="348"/>
    </row>
    <row r="2116" spans="4:4" x14ac:dyDescent="0.3">
      <c r="D2116" s="348"/>
    </row>
    <row r="2117" spans="4:4" x14ac:dyDescent="0.3">
      <c r="D2117" s="348"/>
    </row>
    <row r="2118" spans="4:4" x14ac:dyDescent="0.3">
      <c r="D2118" s="348"/>
    </row>
    <row r="2119" spans="4:4" x14ac:dyDescent="0.3">
      <c r="D2119" s="348"/>
    </row>
    <row r="2120" spans="4:4" x14ac:dyDescent="0.3">
      <c r="D2120" s="348"/>
    </row>
    <row r="2121" spans="4:4" x14ac:dyDescent="0.3">
      <c r="D2121" s="348"/>
    </row>
    <row r="2122" spans="4:4" x14ac:dyDescent="0.3">
      <c r="D2122" s="348"/>
    </row>
    <row r="2123" spans="4:4" x14ac:dyDescent="0.3">
      <c r="D2123" s="348"/>
    </row>
    <row r="2124" spans="4:4" x14ac:dyDescent="0.3">
      <c r="D2124" s="348"/>
    </row>
    <row r="2125" spans="4:4" x14ac:dyDescent="0.3">
      <c r="D2125" s="348"/>
    </row>
    <row r="2126" spans="4:4" x14ac:dyDescent="0.3">
      <c r="D2126" s="348"/>
    </row>
    <row r="2127" spans="4:4" x14ac:dyDescent="0.3">
      <c r="D2127" s="348"/>
    </row>
    <row r="2128" spans="4:4" x14ac:dyDescent="0.3">
      <c r="D2128" s="348"/>
    </row>
    <row r="2129" spans="4:4" x14ac:dyDescent="0.3">
      <c r="D2129" s="348"/>
    </row>
    <row r="2130" spans="4:4" x14ac:dyDescent="0.3">
      <c r="D2130" s="348"/>
    </row>
    <row r="2131" spans="4:4" x14ac:dyDescent="0.3">
      <c r="D2131" s="348"/>
    </row>
    <row r="2132" spans="4:4" x14ac:dyDescent="0.3">
      <c r="D2132" s="348"/>
    </row>
    <row r="2133" spans="4:4" x14ac:dyDescent="0.3">
      <c r="D2133" s="348"/>
    </row>
    <row r="2134" spans="4:4" x14ac:dyDescent="0.3">
      <c r="D2134" s="348"/>
    </row>
    <row r="2135" spans="4:4" x14ac:dyDescent="0.3">
      <c r="D2135" s="348"/>
    </row>
    <row r="2136" spans="4:4" x14ac:dyDescent="0.3">
      <c r="D2136" s="348"/>
    </row>
    <row r="2137" spans="4:4" x14ac:dyDescent="0.3">
      <c r="D2137" s="348"/>
    </row>
    <row r="2138" spans="4:4" x14ac:dyDescent="0.3">
      <c r="D2138" s="348"/>
    </row>
    <row r="2139" spans="4:4" x14ac:dyDescent="0.3">
      <c r="D2139" s="348"/>
    </row>
    <row r="2140" spans="4:4" x14ac:dyDescent="0.3">
      <c r="D2140" s="348"/>
    </row>
    <row r="2141" spans="4:4" x14ac:dyDescent="0.3">
      <c r="D2141" s="348"/>
    </row>
    <row r="2142" spans="4:4" x14ac:dyDescent="0.3">
      <c r="D2142" s="348"/>
    </row>
    <row r="2143" spans="4:4" x14ac:dyDescent="0.3">
      <c r="D2143" s="348"/>
    </row>
    <row r="2144" spans="4:4" x14ac:dyDescent="0.3">
      <c r="D2144" s="348"/>
    </row>
    <row r="2145" spans="4:4" x14ac:dyDescent="0.3">
      <c r="D2145" s="348"/>
    </row>
    <row r="2146" spans="4:4" x14ac:dyDescent="0.3">
      <c r="D2146" s="348"/>
    </row>
    <row r="2147" spans="4:4" x14ac:dyDescent="0.3">
      <c r="D2147" s="348"/>
    </row>
    <row r="2148" spans="4:4" x14ac:dyDescent="0.3">
      <c r="D2148" s="348"/>
    </row>
    <row r="2149" spans="4:4" x14ac:dyDescent="0.3">
      <c r="D2149" s="348"/>
    </row>
    <row r="2150" spans="4:4" x14ac:dyDescent="0.3">
      <c r="D2150" s="348"/>
    </row>
    <row r="2151" spans="4:4" x14ac:dyDescent="0.3">
      <c r="D2151" s="348"/>
    </row>
    <row r="2152" spans="4:4" x14ac:dyDescent="0.3">
      <c r="D2152" s="348"/>
    </row>
    <row r="2153" spans="4:4" x14ac:dyDescent="0.3">
      <c r="D2153" s="348"/>
    </row>
    <row r="2154" spans="4:4" x14ac:dyDescent="0.3">
      <c r="D2154" s="348"/>
    </row>
    <row r="2155" spans="4:4" x14ac:dyDescent="0.3">
      <c r="D2155" s="348"/>
    </row>
    <row r="2156" spans="4:4" x14ac:dyDescent="0.3">
      <c r="D2156" s="348"/>
    </row>
    <row r="2157" spans="4:4" x14ac:dyDescent="0.3">
      <c r="D2157" s="348"/>
    </row>
    <row r="2158" spans="4:4" x14ac:dyDescent="0.3">
      <c r="D2158" s="348"/>
    </row>
    <row r="2159" spans="4:4" x14ac:dyDescent="0.3">
      <c r="D2159" s="348"/>
    </row>
    <row r="2160" spans="4:4" x14ac:dyDescent="0.3">
      <c r="D2160" s="348"/>
    </row>
    <row r="2161" spans="4:4" x14ac:dyDescent="0.3">
      <c r="D2161" s="348"/>
    </row>
    <row r="2162" spans="4:4" x14ac:dyDescent="0.3">
      <c r="D2162" s="348"/>
    </row>
    <row r="2163" spans="4:4" x14ac:dyDescent="0.3">
      <c r="D2163" s="348"/>
    </row>
    <row r="2164" spans="4:4" x14ac:dyDescent="0.3">
      <c r="D2164" s="348"/>
    </row>
    <row r="2165" spans="4:4" x14ac:dyDescent="0.3">
      <c r="D2165" s="348"/>
    </row>
    <row r="2166" spans="4:4" x14ac:dyDescent="0.3">
      <c r="D2166" s="348"/>
    </row>
    <row r="2167" spans="4:4" x14ac:dyDescent="0.3">
      <c r="D2167" s="348"/>
    </row>
    <row r="2168" spans="4:4" x14ac:dyDescent="0.3">
      <c r="D2168" s="348"/>
    </row>
    <row r="2169" spans="4:4" x14ac:dyDescent="0.3">
      <c r="D2169" s="348"/>
    </row>
    <row r="2170" spans="4:4" x14ac:dyDescent="0.3">
      <c r="D2170" s="348"/>
    </row>
    <row r="2171" spans="4:4" x14ac:dyDescent="0.3">
      <c r="D2171" s="348"/>
    </row>
    <row r="2172" spans="4:4" x14ac:dyDescent="0.3">
      <c r="D2172" s="348"/>
    </row>
    <row r="2173" spans="4:4" x14ac:dyDescent="0.3">
      <c r="D2173" s="348"/>
    </row>
    <row r="2174" spans="4:4" x14ac:dyDescent="0.3">
      <c r="D2174" s="348"/>
    </row>
    <row r="2175" spans="4:4" x14ac:dyDescent="0.3">
      <c r="D2175" s="348"/>
    </row>
    <row r="2176" spans="4:4" x14ac:dyDescent="0.3">
      <c r="D2176" s="348"/>
    </row>
    <row r="2177" spans="4:4" x14ac:dyDescent="0.3">
      <c r="D2177" s="348"/>
    </row>
    <row r="2178" spans="4:4" x14ac:dyDescent="0.3">
      <c r="D2178" s="348"/>
    </row>
    <row r="2179" spans="4:4" x14ac:dyDescent="0.3">
      <c r="D2179" s="348"/>
    </row>
    <row r="2180" spans="4:4" x14ac:dyDescent="0.3">
      <c r="D2180" s="348"/>
    </row>
    <row r="2181" spans="4:4" x14ac:dyDescent="0.3">
      <c r="D2181" s="348"/>
    </row>
    <row r="2182" spans="4:4" x14ac:dyDescent="0.3">
      <c r="D2182" s="348"/>
    </row>
    <row r="2183" spans="4:4" x14ac:dyDescent="0.3">
      <c r="D2183" s="348"/>
    </row>
    <row r="2184" spans="4:4" x14ac:dyDescent="0.3">
      <c r="D2184" s="348"/>
    </row>
    <row r="2185" spans="4:4" x14ac:dyDescent="0.3">
      <c r="D2185" s="348"/>
    </row>
    <row r="2186" spans="4:4" x14ac:dyDescent="0.3">
      <c r="D2186" s="348"/>
    </row>
    <row r="2187" spans="4:4" x14ac:dyDescent="0.3">
      <c r="D2187" s="348"/>
    </row>
    <row r="2188" spans="4:4" x14ac:dyDescent="0.3">
      <c r="D2188" s="348"/>
    </row>
    <row r="2189" spans="4:4" x14ac:dyDescent="0.3">
      <c r="D2189" s="348"/>
    </row>
    <row r="2190" spans="4:4" x14ac:dyDescent="0.3">
      <c r="D2190" s="348"/>
    </row>
    <row r="2191" spans="4:4" x14ac:dyDescent="0.3">
      <c r="D2191" s="348"/>
    </row>
    <row r="2192" spans="4:4" x14ac:dyDescent="0.3">
      <c r="D2192" s="348"/>
    </row>
    <row r="2193" spans="4:4" x14ac:dyDescent="0.3">
      <c r="D2193" s="348"/>
    </row>
    <row r="2194" spans="4:4" x14ac:dyDescent="0.3">
      <c r="D2194" s="348"/>
    </row>
    <row r="2195" spans="4:4" x14ac:dyDescent="0.3">
      <c r="D2195" s="348"/>
    </row>
    <row r="2196" spans="4:4" x14ac:dyDescent="0.3">
      <c r="D2196" s="348"/>
    </row>
    <row r="2197" spans="4:4" x14ac:dyDescent="0.3">
      <c r="D2197" s="348"/>
    </row>
    <row r="2198" spans="4:4" x14ac:dyDescent="0.3">
      <c r="D2198" s="348"/>
    </row>
    <row r="2199" spans="4:4" x14ac:dyDescent="0.3">
      <c r="D2199" s="348"/>
    </row>
    <row r="2200" spans="4:4" x14ac:dyDescent="0.3">
      <c r="D2200" s="348"/>
    </row>
    <row r="2201" spans="4:4" x14ac:dyDescent="0.3">
      <c r="D2201" s="348"/>
    </row>
    <row r="2202" spans="4:4" x14ac:dyDescent="0.3">
      <c r="D2202" s="348"/>
    </row>
    <row r="2203" spans="4:4" x14ac:dyDescent="0.3">
      <c r="D2203" s="348"/>
    </row>
    <row r="2204" spans="4:4" x14ac:dyDescent="0.3">
      <c r="D2204" s="348"/>
    </row>
    <row r="2205" spans="4:4" x14ac:dyDescent="0.3">
      <c r="D2205" s="348"/>
    </row>
    <row r="2206" spans="4:4" x14ac:dyDescent="0.3">
      <c r="D2206" s="348"/>
    </row>
    <row r="2207" spans="4:4" x14ac:dyDescent="0.3">
      <c r="D2207" s="348"/>
    </row>
    <row r="2208" spans="4:4" x14ac:dyDescent="0.3">
      <c r="D2208" s="348"/>
    </row>
    <row r="2209" spans="4:4" x14ac:dyDescent="0.3">
      <c r="D2209" s="348"/>
    </row>
    <row r="2210" spans="4:4" x14ac:dyDescent="0.3">
      <c r="D2210" s="348"/>
    </row>
    <row r="2211" spans="4:4" x14ac:dyDescent="0.3">
      <c r="D2211" s="348"/>
    </row>
    <row r="2212" spans="4:4" x14ac:dyDescent="0.3">
      <c r="D2212" s="348"/>
    </row>
    <row r="2213" spans="4:4" x14ac:dyDescent="0.3">
      <c r="D2213" s="348"/>
    </row>
    <row r="2214" spans="4:4" x14ac:dyDescent="0.3">
      <c r="D2214" s="348"/>
    </row>
    <row r="2215" spans="4:4" x14ac:dyDescent="0.3">
      <c r="D2215" s="348"/>
    </row>
    <row r="2216" spans="4:4" x14ac:dyDescent="0.3">
      <c r="D2216" s="348"/>
    </row>
    <row r="2217" spans="4:4" x14ac:dyDescent="0.3">
      <c r="D2217" s="348"/>
    </row>
    <row r="2218" spans="4:4" x14ac:dyDescent="0.3">
      <c r="D2218" s="348"/>
    </row>
    <row r="2219" spans="4:4" x14ac:dyDescent="0.3">
      <c r="D2219" s="348"/>
    </row>
    <row r="2220" spans="4:4" x14ac:dyDescent="0.3">
      <c r="D2220" s="348"/>
    </row>
    <row r="2221" spans="4:4" x14ac:dyDescent="0.3">
      <c r="D2221" s="348"/>
    </row>
    <row r="2222" spans="4:4" x14ac:dyDescent="0.3">
      <c r="D2222" s="348"/>
    </row>
    <row r="2223" spans="4:4" x14ac:dyDescent="0.3">
      <c r="D2223" s="348"/>
    </row>
    <row r="2224" spans="4:4" x14ac:dyDescent="0.3">
      <c r="D2224" s="348"/>
    </row>
    <row r="2225" spans="4:4" x14ac:dyDescent="0.3">
      <c r="D2225" s="348"/>
    </row>
    <row r="2226" spans="4:4" x14ac:dyDescent="0.3">
      <c r="D2226" s="348"/>
    </row>
    <row r="2227" spans="4:4" x14ac:dyDescent="0.3">
      <c r="D2227" s="348"/>
    </row>
    <row r="2228" spans="4:4" x14ac:dyDescent="0.3">
      <c r="D2228" s="348"/>
    </row>
    <row r="2229" spans="4:4" x14ac:dyDescent="0.3">
      <c r="D2229" s="348"/>
    </row>
    <row r="2230" spans="4:4" x14ac:dyDescent="0.3">
      <c r="D2230" s="348"/>
    </row>
    <row r="2231" spans="4:4" x14ac:dyDescent="0.3">
      <c r="D2231" s="348"/>
    </row>
    <row r="2232" spans="4:4" x14ac:dyDescent="0.3">
      <c r="D2232" s="348"/>
    </row>
    <row r="2233" spans="4:4" x14ac:dyDescent="0.3">
      <c r="D2233" s="348"/>
    </row>
    <row r="2234" spans="4:4" x14ac:dyDescent="0.3">
      <c r="D2234" s="348"/>
    </row>
    <row r="2235" spans="4:4" x14ac:dyDescent="0.3">
      <c r="D2235" s="348"/>
    </row>
    <row r="2236" spans="4:4" x14ac:dyDescent="0.3">
      <c r="D2236" s="348"/>
    </row>
    <row r="2237" spans="4:4" x14ac:dyDescent="0.3">
      <c r="D2237" s="348"/>
    </row>
    <row r="2238" spans="4:4" x14ac:dyDescent="0.3">
      <c r="D2238" s="348"/>
    </row>
    <row r="2239" spans="4:4" x14ac:dyDescent="0.3">
      <c r="D2239" s="348"/>
    </row>
    <row r="2240" spans="4:4" x14ac:dyDescent="0.3">
      <c r="D2240" s="348"/>
    </row>
    <row r="2241" spans="4:4" x14ac:dyDescent="0.3">
      <c r="D2241" s="348"/>
    </row>
    <row r="2242" spans="4:4" x14ac:dyDescent="0.3">
      <c r="D2242" s="348"/>
    </row>
    <row r="2243" spans="4:4" x14ac:dyDescent="0.3">
      <c r="D2243" s="348"/>
    </row>
    <row r="2244" spans="4:4" x14ac:dyDescent="0.3">
      <c r="D2244" s="348"/>
    </row>
    <row r="2245" spans="4:4" x14ac:dyDescent="0.3">
      <c r="D2245" s="348"/>
    </row>
    <row r="2246" spans="4:4" x14ac:dyDescent="0.3">
      <c r="D2246" s="348"/>
    </row>
    <row r="2247" spans="4:4" x14ac:dyDescent="0.3">
      <c r="D2247" s="348"/>
    </row>
    <row r="2248" spans="4:4" x14ac:dyDescent="0.3">
      <c r="D2248" s="348"/>
    </row>
    <row r="2249" spans="4:4" x14ac:dyDescent="0.3">
      <c r="D2249" s="348"/>
    </row>
    <row r="2250" spans="4:4" x14ac:dyDescent="0.3">
      <c r="D2250" s="348"/>
    </row>
    <row r="2251" spans="4:4" x14ac:dyDescent="0.3">
      <c r="D2251" s="348"/>
    </row>
    <row r="2252" spans="4:4" x14ac:dyDescent="0.3">
      <c r="D2252" s="348"/>
    </row>
    <row r="2253" spans="4:4" x14ac:dyDescent="0.3">
      <c r="D2253" s="348"/>
    </row>
    <row r="2254" spans="4:4" x14ac:dyDescent="0.3">
      <c r="D2254" s="348"/>
    </row>
    <row r="2255" spans="4:4" x14ac:dyDescent="0.3">
      <c r="D2255" s="348"/>
    </row>
    <row r="2256" spans="4:4" x14ac:dyDescent="0.3">
      <c r="D2256" s="348"/>
    </row>
    <row r="2257" spans="4:4" x14ac:dyDescent="0.3">
      <c r="D2257" s="348"/>
    </row>
    <row r="2258" spans="4:4" x14ac:dyDescent="0.3">
      <c r="D2258" s="348"/>
    </row>
    <row r="2259" spans="4:4" x14ac:dyDescent="0.3">
      <c r="D2259" s="348"/>
    </row>
    <row r="2260" spans="4:4" x14ac:dyDescent="0.3">
      <c r="D2260" s="348"/>
    </row>
    <row r="2261" spans="4:4" x14ac:dyDescent="0.3">
      <c r="D2261" s="348"/>
    </row>
    <row r="2262" spans="4:4" x14ac:dyDescent="0.3">
      <c r="D2262" s="348"/>
    </row>
    <row r="2263" spans="4:4" x14ac:dyDescent="0.3">
      <c r="D2263" s="348"/>
    </row>
    <row r="2264" spans="4:4" x14ac:dyDescent="0.3">
      <c r="D2264" s="348"/>
    </row>
    <row r="2265" spans="4:4" x14ac:dyDescent="0.3">
      <c r="D2265" s="348"/>
    </row>
    <row r="2266" spans="4:4" x14ac:dyDescent="0.3">
      <c r="D2266" s="348"/>
    </row>
    <row r="2267" spans="4:4" x14ac:dyDescent="0.3">
      <c r="D2267" s="348"/>
    </row>
    <row r="2268" spans="4:4" x14ac:dyDescent="0.3">
      <c r="D2268" s="348"/>
    </row>
    <row r="2269" spans="4:4" x14ac:dyDescent="0.3">
      <c r="D2269" s="348"/>
    </row>
    <row r="2270" spans="4:4" x14ac:dyDescent="0.3">
      <c r="D2270" s="348"/>
    </row>
    <row r="2271" spans="4:4" x14ac:dyDescent="0.3">
      <c r="D2271" s="348"/>
    </row>
    <row r="2272" spans="4:4" x14ac:dyDescent="0.3">
      <c r="D2272" s="348"/>
    </row>
    <row r="2273" spans="4:4" x14ac:dyDescent="0.3">
      <c r="D2273" s="348"/>
    </row>
    <row r="2274" spans="4:4" x14ac:dyDescent="0.3">
      <c r="D2274" s="348"/>
    </row>
    <row r="2275" spans="4:4" x14ac:dyDescent="0.3">
      <c r="D2275" s="348"/>
    </row>
    <row r="2276" spans="4:4" x14ac:dyDescent="0.3">
      <c r="D2276" s="348"/>
    </row>
    <row r="2277" spans="4:4" x14ac:dyDescent="0.3">
      <c r="D2277" s="348"/>
    </row>
    <row r="2278" spans="4:4" x14ac:dyDescent="0.3">
      <c r="D2278" s="348"/>
    </row>
    <row r="2279" spans="4:4" x14ac:dyDescent="0.3">
      <c r="D2279" s="348"/>
    </row>
    <row r="2280" spans="4:4" x14ac:dyDescent="0.3">
      <c r="D2280" s="348"/>
    </row>
    <row r="2281" spans="4:4" x14ac:dyDescent="0.3">
      <c r="D2281" s="348"/>
    </row>
    <row r="2282" spans="4:4" x14ac:dyDescent="0.3">
      <c r="D2282" s="348"/>
    </row>
    <row r="2283" spans="4:4" x14ac:dyDescent="0.3">
      <c r="D2283" s="348"/>
    </row>
    <row r="2284" spans="4:4" x14ac:dyDescent="0.3">
      <c r="D2284" s="348"/>
    </row>
    <row r="2285" spans="4:4" x14ac:dyDescent="0.3">
      <c r="D2285" s="348"/>
    </row>
    <row r="2286" spans="4:4" x14ac:dyDescent="0.3">
      <c r="D2286" s="348"/>
    </row>
    <row r="2287" spans="4:4" x14ac:dyDescent="0.3">
      <c r="D2287" s="348"/>
    </row>
    <row r="2288" spans="4:4" x14ac:dyDescent="0.3">
      <c r="D2288" s="348"/>
    </row>
    <row r="2289" spans="4:4" x14ac:dyDescent="0.3">
      <c r="D2289" s="348"/>
    </row>
    <row r="2290" spans="4:4" x14ac:dyDescent="0.3">
      <c r="D2290" s="348"/>
    </row>
    <row r="2291" spans="4:4" x14ac:dyDescent="0.3">
      <c r="D2291" s="348"/>
    </row>
    <row r="2292" spans="4:4" x14ac:dyDescent="0.3">
      <c r="D2292" s="348"/>
    </row>
    <row r="2293" spans="4:4" x14ac:dyDescent="0.3">
      <c r="D2293" s="348"/>
    </row>
    <row r="2294" spans="4:4" x14ac:dyDescent="0.3">
      <c r="D2294" s="348"/>
    </row>
    <row r="2295" spans="4:4" x14ac:dyDescent="0.3">
      <c r="D2295" s="348"/>
    </row>
    <row r="2296" spans="4:4" x14ac:dyDescent="0.3">
      <c r="D2296" s="348"/>
    </row>
    <row r="2297" spans="4:4" x14ac:dyDescent="0.3">
      <c r="D2297" s="348"/>
    </row>
    <row r="2298" spans="4:4" x14ac:dyDescent="0.3">
      <c r="D2298" s="348"/>
    </row>
    <row r="2299" spans="4:4" x14ac:dyDescent="0.3">
      <c r="D2299" s="348"/>
    </row>
    <row r="2300" spans="4:4" x14ac:dyDescent="0.3">
      <c r="D2300" s="348"/>
    </row>
    <row r="2301" spans="4:4" x14ac:dyDescent="0.3">
      <c r="D2301" s="348"/>
    </row>
    <row r="2302" spans="4:4" x14ac:dyDescent="0.3">
      <c r="D2302" s="348"/>
    </row>
    <row r="2303" spans="4:4" x14ac:dyDescent="0.3">
      <c r="D2303" s="348"/>
    </row>
    <row r="2304" spans="4:4" x14ac:dyDescent="0.3">
      <c r="D2304" s="348"/>
    </row>
    <row r="2305" spans="4:4" x14ac:dyDescent="0.3">
      <c r="D2305" s="348"/>
    </row>
    <row r="2306" spans="4:4" x14ac:dyDescent="0.3">
      <c r="D2306" s="348"/>
    </row>
    <row r="2307" spans="4:4" x14ac:dyDescent="0.3">
      <c r="D2307" s="348"/>
    </row>
    <row r="2308" spans="4:4" x14ac:dyDescent="0.3">
      <c r="D2308" s="348"/>
    </row>
    <row r="2309" spans="4:4" x14ac:dyDescent="0.3">
      <c r="D2309" s="348"/>
    </row>
    <row r="2310" spans="4:4" x14ac:dyDescent="0.3">
      <c r="D2310" s="348"/>
    </row>
    <row r="2311" spans="4:4" x14ac:dyDescent="0.3">
      <c r="D2311" s="348"/>
    </row>
    <row r="2312" spans="4:4" x14ac:dyDescent="0.3">
      <c r="D2312" s="348"/>
    </row>
    <row r="2313" spans="4:4" x14ac:dyDescent="0.3">
      <c r="D2313" s="348"/>
    </row>
    <row r="2314" spans="4:4" x14ac:dyDescent="0.3">
      <c r="D2314" s="348"/>
    </row>
    <row r="2315" spans="4:4" x14ac:dyDescent="0.3">
      <c r="D2315" s="348"/>
    </row>
    <row r="2316" spans="4:4" x14ac:dyDescent="0.3">
      <c r="D2316" s="348"/>
    </row>
    <row r="2317" spans="4:4" x14ac:dyDescent="0.3">
      <c r="D2317" s="348"/>
    </row>
    <row r="2318" spans="4:4" x14ac:dyDescent="0.3">
      <c r="D2318" s="348"/>
    </row>
    <row r="2319" spans="4:4" x14ac:dyDescent="0.3">
      <c r="D2319" s="348"/>
    </row>
    <row r="2320" spans="4:4" x14ac:dyDescent="0.3">
      <c r="D2320" s="348"/>
    </row>
    <row r="2321" spans="4:4" x14ac:dyDescent="0.3">
      <c r="D2321" s="348"/>
    </row>
    <row r="2322" spans="4:4" x14ac:dyDescent="0.3">
      <c r="D2322" s="348"/>
    </row>
    <row r="2323" spans="4:4" x14ac:dyDescent="0.3">
      <c r="D2323" s="348"/>
    </row>
    <row r="2324" spans="4:4" x14ac:dyDescent="0.3">
      <c r="D2324" s="348"/>
    </row>
    <row r="2325" spans="4:4" x14ac:dyDescent="0.3">
      <c r="D2325" s="348"/>
    </row>
    <row r="2326" spans="4:4" x14ac:dyDescent="0.3">
      <c r="D2326" s="348"/>
    </row>
    <row r="2327" spans="4:4" x14ac:dyDescent="0.3">
      <c r="D2327" s="348"/>
    </row>
    <row r="2328" spans="4:4" x14ac:dyDescent="0.3">
      <c r="D2328" s="348"/>
    </row>
    <row r="2329" spans="4:4" x14ac:dyDescent="0.3">
      <c r="D2329" s="348"/>
    </row>
    <row r="2330" spans="4:4" x14ac:dyDescent="0.3">
      <c r="D2330" s="348"/>
    </row>
    <row r="2331" spans="4:4" x14ac:dyDescent="0.3">
      <c r="D2331" s="348"/>
    </row>
    <row r="2332" spans="4:4" x14ac:dyDescent="0.3">
      <c r="D2332" s="348"/>
    </row>
    <row r="2333" spans="4:4" x14ac:dyDescent="0.3">
      <c r="D2333" s="348"/>
    </row>
    <row r="2334" spans="4:4" x14ac:dyDescent="0.3">
      <c r="D2334" s="348"/>
    </row>
    <row r="2335" spans="4:4" x14ac:dyDescent="0.3">
      <c r="D2335" s="348"/>
    </row>
    <row r="2336" spans="4:4" x14ac:dyDescent="0.3">
      <c r="D2336" s="348"/>
    </row>
    <row r="2337" spans="4:4" x14ac:dyDescent="0.3">
      <c r="D2337" s="348"/>
    </row>
    <row r="2338" spans="4:4" x14ac:dyDescent="0.3">
      <c r="D2338" s="348"/>
    </row>
    <row r="2339" spans="4:4" x14ac:dyDescent="0.3">
      <c r="D2339" s="348"/>
    </row>
    <row r="2340" spans="4:4" x14ac:dyDescent="0.3">
      <c r="D2340" s="348"/>
    </row>
    <row r="2341" spans="4:4" x14ac:dyDescent="0.3">
      <c r="D2341" s="348"/>
    </row>
    <row r="2342" spans="4:4" x14ac:dyDescent="0.3">
      <c r="D2342" s="348"/>
    </row>
    <row r="2343" spans="4:4" x14ac:dyDescent="0.3">
      <c r="D2343" s="348"/>
    </row>
    <row r="2344" spans="4:4" x14ac:dyDescent="0.3">
      <c r="D2344" s="348"/>
    </row>
    <row r="2345" spans="4:4" x14ac:dyDescent="0.3">
      <c r="D2345" s="348"/>
    </row>
    <row r="2346" spans="4:4" x14ac:dyDescent="0.3">
      <c r="D2346" s="348"/>
    </row>
    <row r="2347" spans="4:4" x14ac:dyDescent="0.3">
      <c r="D2347" s="348"/>
    </row>
    <row r="2348" spans="4:4" x14ac:dyDescent="0.3">
      <c r="D2348" s="348"/>
    </row>
    <row r="2349" spans="4:4" x14ac:dyDescent="0.3">
      <c r="D2349" s="348"/>
    </row>
    <row r="2350" spans="4:4" x14ac:dyDescent="0.3">
      <c r="D2350" s="348"/>
    </row>
    <row r="2351" spans="4:4" x14ac:dyDescent="0.3">
      <c r="D2351" s="348"/>
    </row>
    <row r="2352" spans="4:4" x14ac:dyDescent="0.3">
      <c r="D2352" s="348"/>
    </row>
    <row r="2353" spans="4:4" x14ac:dyDescent="0.3">
      <c r="D2353" s="348"/>
    </row>
    <row r="2354" spans="4:4" x14ac:dyDescent="0.3">
      <c r="D2354" s="348"/>
    </row>
    <row r="2355" spans="4:4" x14ac:dyDescent="0.3">
      <c r="D2355" s="348"/>
    </row>
    <row r="2356" spans="4:4" x14ac:dyDescent="0.3">
      <c r="D2356" s="348"/>
    </row>
    <row r="2357" spans="4:4" x14ac:dyDescent="0.3">
      <c r="D2357" s="348"/>
    </row>
    <row r="2358" spans="4:4" x14ac:dyDescent="0.3">
      <c r="D2358" s="348"/>
    </row>
    <row r="2359" spans="4:4" x14ac:dyDescent="0.3">
      <c r="D2359" s="348"/>
    </row>
    <row r="2360" spans="4:4" x14ac:dyDescent="0.3">
      <c r="D2360" s="348"/>
    </row>
    <row r="2361" spans="4:4" x14ac:dyDescent="0.3">
      <c r="D2361" s="348"/>
    </row>
    <row r="2362" spans="4:4" x14ac:dyDescent="0.3">
      <c r="D2362" s="348"/>
    </row>
    <row r="2363" spans="4:4" x14ac:dyDescent="0.3">
      <c r="D2363" s="348"/>
    </row>
    <row r="2364" spans="4:4" x14ac:dyDescent="0.3">
      <c r="D2364" s="348"/>
    </row>
    <row r="2365" spans="4:4" x14ac:dyDescent="0.3">
      <c r="D2365" s="348"/>
    </row>
    <row r="2366" spans="4:4" x14ac:dyDescent="0.3">
      <c r="D2366" s="348"/>
    </row>
    <row r="2367" spans="4:4" x14ac:dyDescent="0.3">
      <c r="D2367" s="348"/>
    </row>
    <row r="2368" spans="4:4" x14ac:dyDescent="0.3">
      <c r="D2368" s="348"/>
    </row>
    <row r="2369" spans="4:4" x14ac:dyDescent="0.3">
      <c r="D2369" s="348"/>
    </row>
    <row r="2370" spans="4:4" x14ac:dyDescent="0.3">
      <c r="D2370" s="348"/>
    </row>
    <row r="2371" spans="4:4" x14ac:dyDescent="0.3">
      <c r="D2371" s="348"/>
    </row>
    <row r="2372" spans="4:4" x14ac:dyDescent="0.3">
      <c r="D2372" s="348"/>
    </row>
    <row r="2373" spans="4:4" x14ac:dyDescent="0.3">
      <c r="D2373" s="348"/>
    </row>
    <row r="2374" spans="4:4" x14ac:dyDescent="0.3">
      <c r="D2374" s="348"/>
    </row>
    <row r="2375" spans="4:4" x14ac:dyDescent="0.3">
      <c r="D2375" s="348"/>
    </row>
    <row r="2376" spans="4:4" x14ac:dyDescent="0.3">
      <c r="D2376" s="348"/>
    </row>
    <row r="2377" spans="4:4" x14ac:dyDescent="0.3">
      <c r="D2377" s="348"/>
    </row>
    <row r="2378" spans="4:4" x14ac:dyDescent="0.3">
      <c r="D2378" s="348"/>
    </row>
    <row r="2379" spans="4:4" x14ac:dyDescent="0.3">
      <c r="D2379" s="348"/>
    </row>
    <row r="2380" spans="4:4" x14ac:dyDescent="0.3">
      <c r="D2380" s="348"/>
    </row>
    <row r="2381" spans="4:4" x14ac:dyDescent="0.3">
      <c r="D2381" s="348"/>
    </row>
    <row r="2382" spans="4:4" x14ac:dyDescent="0.3">
      <c r="D2382" s="348"/>
    </row>
    <row r="2383" spans="4:4" x14ac:dyDescent="0.3">
      <c r="D2383" s="348"/>
    </row>
    <row r="2384" spans="4:4" x14ac:dyDescent="0.3">
      <c r="D2384" s="348"/>
    </row>
    <row r="2385" spans="4:4" x14ac:dyDescent="0.3">
      <c r="D2385" s="348"/>
    </row>
    <row r="2386" spans="4:4" x14ac:dyDescent="0.3">
      <c r="D2386" s="348"/>
    </row>
    <row r="2387" spans="4:4" x14ac:dyDescent="0.3">
      <c r="D2387" s="348"/>
    </row>
    <row r="2388" spans="4:4" x14ac:dyDescent="0.3">
      <c r="D2388" s="348"/>
    </row>
    <row r="2389" spans="4:4" x14ac:dyDescent="0.3">
      <c r="D2389" s="348"/>
    </row>
    <row r="2390" spans="4:4" x14ac:dyDescent="0.3">
      <c r="D2390" s="348"/>
    </row>
    <row r="2391" spans="4:4" x14ac:dyDescent="0.3">
      <c r="D2391" s="348"/>
    </row>
    <row r="2392" spans="4:4" x14ac:dyDescent="0.3">
      <c r="D2392" s="348"/>
    </row>
    <row r="2393" spans="4:4" x14ac:dyDescent="0.3">
      <c r="D2393" s="348"/>
    </row>
    <row r="2394" spans="4:4" x14ac:dyDescent="0.3">
      <c r="D2394" s="348"/>
    </row>
    <row r="2395" spans="4:4" x14ac:dyDescent="0.3">
      <c r="D2395" s="348"/>
    </row>
    <row r="2396" spans="4:4" x14ac:dyDescent="0.3">
      <c r="D2396" s="348"/>
    </row>
    <row r="2397" spans="4:4" x14ac:dyDescent="0.3">
      <c r="D2397" s="348"/>
    </row>
    <row r="2398" spans="4:4" x14ac:dyDescent="0.3">
      <c r="D2398" s="348"/>
    </row>
    <row r="2399" spans="4:4" x14ac:dyDescent="0.3">
      <c r="D2399" s="348"/>
    </row>
    <row r="2400" spans="4:4" x14ac:dyDescent="0.3">
      <c r="D2400" s="348"/>
    </row>
    <row r="2401" spans="4:4" x14ac:dyDescent="0.3">
      <c r="D2401" s="348"/>
    </row>
    <row r="2402" spans="4:4" x14ac:dyDescent="0.3">
      <c r="D2402" s="348"/>
    </row>
    <row r="2403" spans="4:4" x14ac:dyDescent="0.3">
      <c r="D2403" s="348"/>
    </row>
    <row r="2404" spans="4:4" x14ac:dyDescent="0.3">
      <c r="D2404" s="348"/>
    </row>
    <row r="2405" spans="4:4" x14ac:dyDescent="0.3">
      <c r="D2405" s="348"/>
    </row>
    <row r="2406" spans="4:4" x14ac:dyDescent="0.3">
      <c r="D2406" s="348"/>
    </row>
    <row r="2407" spans="4:4" x14ac:dyDescent="0.3">
      <c r="D2407" s="348"/>
    </row>
    <row r="2408" spans="4:4" x14ac:dyDescent="0.3">
      <c r="D2408" s="348"/>
    </row>
    <row r="2409" spans="4:4" x14ac:dyDescent="0.3">
      <c r="D2409" s="348"/>
    </row>
    <row r="2410" spans="4:4" x14ac:dyDescent="0.3">
      <c r="D2410" s="348"/>
    </row>
    <row r="2411" spans="4:4" x14ac:dyDescent="0.3">
      <c r="D2411" s="348"/>
    </row>
    <row r="2412" spans="4:4" x14ac:dyDescent="0.3">
      <c r="D2412" s="348"/>
    </row>
    <row r="2413" spans="4:4" x14ac:dyDescent="0.3">
      <c r="D2413" s="348"/>
    </row>
    <row r="2414" spans="4:4" x14ac:dyDescent="0.3">
      <c r="D2414" s="348"/>
    </row>
    <row r="2415" spans="4:4" x14ac:dyDescent="0.3">
      <c r="D2415" s="348"/>
    </row>
    <row r="2416" spans="4:4" x14ac:dyDescent="0.3">
      <c r="D2416" s="348"/>
    </row>
    <row r="2417" spans="4:4" x14ac:dyDescent="0.3">
      <c r="D2417" s="348"/>
    </row>
    <row r="2418" spans="4:4" x14ac:dyDescent="0.3">
      <c r="D2418" s="348"/>
    </row>
    <row r="2419" spans="4:4" x14ac:dyDescent="0.3">
      <c r="D2419" s="348"/>
    </row>
    <row r="2420" spans="4:4" x14ac:dyDescent="0.3">
      <c r="D2420" s="348"/>
    </row>
    <row r="2421" spans="4:4" x14ac:dyDescent="0.3">
      <c r="D2421" s="348"/>
    </row>
    <row r="2422" spans="4:4" x14ac:dyDescent="0.3">
      <c r="D2422" s="348"/>
    </row>
    <row r="2423" spans="4:4" x14ac:dyDescent="0.3">
      <c r="D2423" s="348"/>
    </row>
    <row r="2424" spans="4:4" x14ac:dyDescent="0.3">
      <c r="D2424" s="348"/>
    </row>
    <row r="2425" spans="4:4" x14ac:dyDescent="0.3">
      <c r="D2425" s="348"/>
    </row>
    <row r="2426" spans="4:4" x14ac:dyDescent="0.3">
      <c r="D2426" s="348"/>
    </row>
    <row r="2427" spans="4:4" x14ac:dyDescent="0.3">
      <c r="D2427" s="348"/>
    </row>
    <row r="2428" spans="4:4" x14ac:dyDescent="0.3">
      <c r="D2428" s="348"/>
    </row>
    <row r="2429" spans="4:4" x14ac:dyDescent="0.3">
      <c r="D2429" s="348"/>
    </row>
    <row r="2430" spans="4:4" x14ac:dyDescent="0.3">
      <c r="D2430" s="348"/>
    </row>
    <row r="2431" spans="4:4" x14ac:dyDescent="0.3">
      <c r="D2431" s="348"/>
    </row>
    <row r="2432" spans="4:4" x14ac:dyDescent="0.3">
      <c r="D2432" s="348"/>
    </row>
    <row r="2433" spans="4:4" x14ac:dyDescent="0.3">
      <c r="D2433" s="348"/>
    </row>
    <row r="2434" spans="4:4" x14ac:dyDescent="0.3">
      <c r="D2434" s="348"/>
    </row>
    <row r="2435" spans="4:4" x14ac:dyDescent="0.3">
      <c r="D2435" s="348"/>
    </row>
    <row r="2436" spans="4:4" x14ac:dyDescent="0.3">
      <c r="D2436" s="348"/>
    </row>
    <row r="2437" spans="4:4" x14ac:dyDescent="0.3">
      <c r="D2437" s="348"/>
    </row>
    <row r="2438" spans="4:4" x14ac:dyDescent="0.3">
      <c r="D2438" s="348"/>
    </row>
    <row r="2439" spans="4:4" x14ac:dyDescent="0.3">
      <c r="D2439" s="348"/>
    </row>
    <row r="2440" spans="4:4" x14ac:dyDescent="0.3">
      <c r="D2440" s="348"/>
    </row>
    <row r="2441" spans="4:4" x14ac:dyDescent="0.3">
      <c r="D2441" s="348"/>
    </row>
    <row r="2442" spans="4:4" x14ac:dyDescent="0.3">
      <c r="D2442" s="348"/>
    </row>
    <row r="2443" spans="4:4" x14ac:dyDescent="0.3">
      <c r="D2443" s="348"/>
    </row>
    <row r="2444" spans="4:4" x14ac:dyDescent="0.3">
      <c r="D2444" s="348"/>
    </row>
    <row r="2445" spans="4:4" x14ac:dyDescent="0.3">
      <c r="D2445" s="348"/>
    </row>
    <row r="2446" spans="4:4" x14ac:dyDescent="0.3">
      <c r="D2446" s="348"/>
    </row>
    <row r="2447" spans="4:4" x14ac:dyDescent="0.3">
      <c r="D2447" s="348"/>
    </row>
    <row r="2448" spans="4:4" x14ac:dyDescent="0.3">
      <c r="D2448" s="348"/>
    </row>
    <row r="2449" spans="4:4" x14ac:dyDescent="0.3">
      <c r="D2449" s="348"/>
    </row>
    <row r="2450" spans="4:4" x14ac:dyDescent="0.3">
      <c r="D2450" s="348"/>
    </row>
    <row r="2451" spans="4:4" x14ac:dyDescent="0.3">
      <c r="D2451" s="348"/>
    </row>
    <row r="2452" spans="4:4" x14ac:dyDescent="0.3">
      <c r="D2452" s="348"/>
    </row>
    <row r="2453" spans="4:4" x14ac:dyDescent="0.3">
      <c r="D2453" s="348"/>
    </row>
    <row r="2454" spans="4:4" x14ac:dyDescent="0.3">
      <c r="D2454" s="348"/>
    </row>
    <row r="2455" spans="4:4" x14ac:dyDescent="0.3">
      <c r="D2455" s="348"/>
    </row>
    <row r="2456" spans="4:4" x14ac:dyDescent="0.3">
      <c r="D2456" s="348"/>
    </row>
    <row r="2457" spans="4:4" x14ac:dyDescent="0.3">
      <c r="D2457" s="348"/>
    </row>
    <row r="2458" spans="4:4" x14ac:dyDescent="0.3">
      <c r="D2458" s="348"/>
    </row>
    <row r="2459" spans="4:4" x14ac:dyDescent="0.3">
      <c r="D2459" s="348"/>
    </row>
    <row r="2460" spans="4:4" x14ac:dyDescent="0.3">
      <c r="D2460" s="348"/>
    </row>
    <row r="2461" spans="4:4" x14ac:dyDescent="0.3">
      <c r="D2461" s="348"/>
    </row>
    <row r="2462" spans="4:4" x14ac:dyDescent="0.3">
      <c r="D2462" s="348"/>
    </row>
    <row r="2463" spans="4:4" x14ac:dyDescent="0.3">
      <c r="D2463" s="348"/>
    </row>
    <row r="2464" spans="4:4" x14ac:dyDescent="0.3">
      <c r="D2464" s="348"/>
    </row>
    <row r="2465" spans="4:4" x14ac:dyDescent="0.3">
      <c r="D2465" s="348"/>
    </row>
    <row r="2466" spans="4:4" x14ac:dyDescent="0.3">
      <c r="D2466" s="348"/>
    </row>
    <row r="2467" spans="4:4" x14ac:dyDescent="0.3">
      <c r="D2467" s="348"/>
    </row>
    <row r="2468" spans="4:4" x14ac:dyDescent="0.3">
      <c r="D2468" s="348"/>
    </row>
    <row r="2469" spans="4:4" x14ac:dyDescent="0.3">
      <c r="D2469" s="348"/>
    </row>
    <row r="2470" spans="4:4" x14ac:dyDescent="0.3">
      <c r="D2470" s="348"/>
    </row>
    <row r="2471" spans="4:4" x14ac:dyDescent="0.3">
      <c r="D2471" s="348"/>
    </row>
    <row r="2472" spans="4:4" x14ac:dyDescent="0.3">
      <c r="D2472" s="348"/>
    </row>
    <row r="2473" spans="4:4" x14ac:dyDescent="0.3">
      <c r="D2473" s="348"/>
    </row>
    <row r="2474" spans="4:4" x14ac:dyDescent="0.3">
      <c r="D2474" s="348"/>
    </row>
    <row r="2475" spans="4:4" x14ac:dyDescent="0.3">
      <c r="D2475" s="348"/>
    </row>
    <row r="2476" spans="4:4" x14ac:dyDescent="0.3">
      <c r="D2476" s="348"/>
    </row>
    <row r="2477" spans="4:4" x14ac:dyDescent="0.3">
      <c r="D2477" s="348"/>
    </row>
    <row r="2478" spans="4:4" x14ac:dyDescent="0.3">
      <c r="D2478" s="348"/>
    </row>
    <row r="2479" spans="4:4" x14ac:dyDescent="0.3">
      <c r="D2479" s="348"/>
    </row>
    <row r="2480" spans="4:4" x14ac:dyDescent="0.3">
      <c r="D2480" s="348"/>
    </row>
    <row r="2481" spans="4:4" x14ac:dyDescent="0.3">
      <c r="D2481" s="348"/>
    </row>
    <row r="2482" spans="4:4" x14ac:dyDescent="0.3">
      <c r="D2482" s="348"/>
    </row>
    <row r="2483" spans="4:4" x14ac:dyDescent="0.3">
      <c r="D2483" s="348"/>
    </row>
    <row r="2484" spans="4:4" x14ac:dyDescent="0.3">
      <c r="D2484" s="348"/>
    </row>
    <row r="2485" spans="4:4" x14ac:dyDescent="0.3">
      <c r="D2485" s="348"/>
    </row>
    <row r="2486" spans="4:4" x14ac:dyDescent="0.3">
      <c r="D2486" s="348"/>
    </row>
    <row r="2487" spans="4:4" x14ac:dyDescent="0.3">
      <c r="D2487" s="348"/>
    </row>
    <row r="2488" spans="4:4" x14ac:dyDescent="0.3">
      <c r="D2488" s="348"/>
    </row>
    <row r="2489" spans="4:4" x14ac:dyDescent="0.3">
      <c r="D2489" s="348"/>
    </row>
    <row r="2490" spans="4:4" x14ac:dyDescent="0.3">
      <c r="D2490" s="348"/>
    </row>
    <row r="2491" spans="4:4" x14ac:dyDescent="0.3">
      <c r="D2491" s="348"/>
    </row>
    <row r="2492" spans="4:4" x14ac:dyDescent="0.3">
      <c r="D2492" s="348"/>
    </row>
    <row r="2493" spans="4:4" x14ac:dyDescent="0.3">
      <c r="D2493" s="348"/>
    </row>
    <row r="2494" spans="4:4" x14ac:dyDescent="0.3">
      <c r="D2494" s="348"/>
    </row>
    <row r="2495" spans="4:4" x14ac:dyDescent="0.3">
      <c r="D2495" s="348"/>
    </row>
    <row r="2496" spans="4:4" x14ac:dyDescent="0.3">
      <c r="D2496" s="348"/>
    </row>
    <row r="2497" spans="4:4" x14ac:dyDescent="0.3">
      <c r="D2497" s="348"/>
    </row>
    <row r="2498" spans="4:4" x14ac:dyDescent="0.3">
      <c r="D2498" s="348"/>
    </row>
    <row r="2499" spans="4:4" x14ac:dyDescent="0.3">
      <c r="D2499" s="348"/>
    </row>
    <row r="2500" spans="4:4" x14ac:dyDescent="0.3">
      <c r="D2500" s="348"/>
    </row>
    <row r="2501" spans="4:4" x14ac:dyDescent="0.3">
      <c r="D2501" s="348"/>
    </row>
    <row r="2502" spans="4:4" x14ac:dyDescent="0.3">
      <c r="D2502" s="348"/>
    </row>
    <row r="2503" spans="4:4" x14ac:dyDescent="0.3">
      <c r="D2503" s="348"/>
    </row>
    <row r="2504" spans="4:4" x14ac:dyDescent="0.3">
      <c r="D2504" s="348"/>
    </row>
    <row r="2505" spans="4:4" x14ac:dyDescent="0.3">
      <c r="D2505" s="348"/>
    </row>
    <row r="2506" spans="4:4" x14ac:dyDescent="0.3">
      <c r="D2506" s="348"/>
    </row>
    <row r="2507" spans="4:4" x14ac:dyDescent="0.3">
      <c r="D2507" s="348"/>
    </row>
    <row r="2508" spans="4:4" x14ac:dyDescent="0.3">
      <c r="D2508" s="348"/>
    </row>
    <row r="2509" spans="4:4" x14ac:dyDescent="0.3">
      <c r="D2509" s="348"/>
    </row>
    <row r="2510" spans="4:4" x14ac:dyDescent="0.3">
      <c r="D2510" s="348"/>
    </row>
    <row r="2511" spans="4:4" x14ac:dyDescent="0.3">
      <c r="D2511" s="348"/>
    </row>
    <row r="2512" spans="4:4" x14ac:dyDescent="0.3">
      <c r="D2512" s="348"/>
    </row>
    <row r="2513" spans="4:4" x14ac:dyDescent="0.3">
      <c r="D2513" s="348"/>
    </row>
    <row r="2514" spans="4:4" x14ac:dyDescent="0.3">
      <c r="D2514" s="348"/>
    </row>
    <row r="2515" spans="4:4" x14ac:dyDescent="0.3">
      <c r="D2515" s="348"/>
    </row>
    <row r="2516" spans="4:4" x14ac:dyDescent="0.3">
      <c r="D2516" s="348"/>
    </row>
    <row r="2517" spans="4:4" x14ac:dyDescent="0.3">
      <c r="D2517" s="348"/>
    </row>
    <row r="2518" spans="4:4" x14ac:dyDescent="0.3">
      <c r="D2518" s="348"/>
    </row>
    <row r="2519" spans="4:4" x14ac:dyDescent="0.3">
      <c r="D2519" s="348"/>
    </row>
    <row r="2520" spans="4:4" x14ac:dyDescent="0.3">
      <c r="D2520" s="348"/>
    </row>
    <row r="2521" spans="4:4" x14ac:dyDescent="0.3">
      <c r="D2521" s="348"/>
    </row>
    <row r="2522" spans="4:4" x14ac:dyDescent="0.3">
      <c r="D2522" s="348"/>
    </row>
    <row r="2523" spans="4:4" x14ac:dyDescent="0.3">
      <c r="D2523" s="348"/>
    </row>
    <row r="2524" spans="4:4" x14ac:dyDescent="0.3">
      <c r="D2524" s="348"/>
    </row>
    <row r="2525" spans="4:4" x14ac:dyDescent="0.3">
      <c r="D2525" s="348"/>
    </row>
    <row r="2526" spans="4:4" x14ac:dyDescent="0.3">
      <c r="D2526" s="348"/>
    </row>
    <row r="2527" spans="4:4" x14ac:dyDescent="0.3">
      <c r="D2527" s="348"/>
    </row>
    <row r="2528" spans="4:4" x14ac:dyDescent="0.3">
      <c r="D2528" s="348"/>
    </row>
    <row r="2529" spans="4:4" x14ac:dyDescent="0.3">
      <c r="D2529" s="348"/>
    </row>
    <row r="2530" spans="4:4" x14ac:dyDescent="0.3">
      <c r="D2530" s="348"/>
    </row>
    <row r="2531" spans="4:4" x14ac:dyDescent="0.3">
      <c r="D2531" s="348"/>
    </row>
    <row r="2532" spans="4:4" x14ac:dyDescent="0.3">
      <c r="D2532" s="348"/>
    </row>
    <row r="2533" spans="4:4" x14ac:dyDescent="0.3">
      <c r="D2533" s="348"/>
    </row>
    <row r="2534" spans="4:4" x14ac:dyDescent="0.3">
      <c r="D2534" s="348"/>
    </row>
    <row r="2535" spans="4:4" x14ac:dyDescent="0.3">
      <c r="D2535" s="348"/>
    </row>
    <row r="2536" spans="4:4" x14ac:dyDescent="0.3">
      <c r="D2536" s="348"/>
    </row>
    <row r="2537" spans="4:4" x14ac:dyDescent="0.3">
      <c r="D2537" s="348"/>
    </row>
    <row r="2538" spans="4:4" x14ac:dyDescent="0.3">
      <c r="D2538" s="348"/>
    </row>
    <row r="2539" spans="4:4" x14ac:dyDescent="0.3">
      <c r="D2539" s="348"/>
    </row>
    <row r="2540" spans="4:4" x14ac:dyDescent="0.3">
      <c r="D2540" s="348"/>
    </row>
    <row r="2541" spans="4:4" x14ac:dyDescent="0.3">
      <c r="D2541" s="348"/>
    </row>
    <row r="2542" spans="4:4" x14ac:dyDescent="0.3">
      <c r="D2542" s="348"/>
    </row>
    <row r="2543" spans="4:4" x14ac:dyDescent="0.3">
      <c r="D2543" s="348"/>
    </row>
    <row r="2544" spans="4:4" x14ac:dyDescent="0.3">
      <c r="D2544" s="348"/>
    </row>
    <row r="2545" spans="4:4" x14ac:dyDescent="0.3">
      <c r="D2545" s="348"/>
    </row>
    <row r="2546" spans="4:4" x14ac:dyDescent="0.3">
      <c r="D2546" s="348"/>
    </row>
    <row r="2547" spans="4:4" x14ac:dyDescent="0.3">
      <c r="D2547" s="348"/>
    </row>
    <row r="2548" spans="4:4" x14ac:dyDescent="0.3">
      <c r="D2548" s="348"/>
    </row>
    <row r="2549" spans="4:4" x14ac:dyDescent="0.3">
      <c r="D2549" s="348"/>
    </row>
    <row r="2550" spans="4:4" x14ac:dyDescent="0.3">
      <c r="D2550" s="348"/>
    </row>
    <row r="2551" spans="4:4" x14ac:dyDescent="0.3">
      <c r="D2551" s="348"/>
    </row>
    <row r="2552" spans="4:4" x14ac:dyDescent="0.3">
      <c r="D2552" s="348"/>
    </row>
    <row r="2553" spans="4:4" x14ac:dyDescent="0.3">
      <c r="D2553" s="348"/>
    </row>
    <row r="2554" spans="4:4" x14ac:dyDescent="0.3">
      <c r="D2554" s="348"/>
    </row>
    <row r="2555" spans="4:4" x14ac:dyDescent="0.3">
      <c r="D2555" s="348"/>
    </row>
    <row r="2556" spans="4:4" x14ac:dyDescent="0.3">
      <c r="D2556" s="348"/>
    </row>
    <row r="2557" spans="4:4" x14ac:dyDescent="0.3">
      <c r="D2557" s="348"/>
    </row>
    <row r="2558" spans="4:4" x14ac:dyDescent="0.3">
      <c r="D2558" s="348"/>
    </row>
    <row r="2559" spans="4:4" x14ac:dyDescent="0.3">
      <c r="D2559" s="348"/>
    </row>
    <row r="2560" spans="4:4" x14ac:dyDescent="0.3">
      <c r="D2560" s="348"/>
    </row>
    <row r="2561" spans="4:4" x14ac:dyDescent="0.3">
      <c r="D2561" s="348"/>
    </row>
    <row r="2562" spans="4:4" x14ac:dyDescent="0.3">
      <c r="D2562" s="348"/>
    </row>
    <row r="2563" spans="4:4" x14ac:dyDescent="0.3">
      <c r="D2563" s="348"/>
    </row>
    <row r="2564" spans="4:4" x14ac:dyDescent="0.3">
      <c r="D2564" s="348"/>
    </row>
    <row r="2565" spans="4:4" x14ac:dyDescent="0.3">
      <c r="D2565" s="348"/>
    </row>
    <row r="2566" spans="4:4" x14ac:dyDescent="0.3">
      <c r="D2566" s="348"/>
    </row>
    <row r="2567" spans="4:4" x14ac:dyDescent="0.3">
      <c r="D2567" s="348"/>
    </row>
    <row r="2568" spans="4:4" x14ac:dyDescent="0.3">
      <c r="D2568" s="348"/>
    </row>
    <row r="2569" spans="4:4" x14ac:dyDescent="0.3">
      <c r="D2569" s="348"/>
    </row>
    <row r="2570" spans="4:4" x14ac:dyDescent="0.3">
      <c r="D2570" s="348"/>
    </row>
    <row r="2571" spans="4:4" x14ac:dyDescent="0.3">
      <c r="D2571" s="348"/>
    </row>
    <row r="2572" spans="4:4" x14ac:dyDescent="0.3">
      <c r="D2572" s="348"/>
    </row>
    <row r="2573" spans="4:4" x14ac:dyDescent="0.3">
      <c r="D2573" s="348"/>
    </row>
    <row r="2574" spans="4:4" x14ac:dyDescent="0.3">
      <c r="D2574" s="348"/>
    </row>
    <row r="2575" spans="4:4" x14ac:dyDescent="0.3">
      <c r="D2575" s="348"/>
    </row>
    <row r="2576" spans="4:4" x14ac:dyDescent="0.3">
      <c r="D2576" s="348"/>
    </row>
    <row r="2577" spans="4:4" x14ac:dyDescent="0.3">
      <c r="D2577" s="348"/>
    </row>
    <row r="2578" spans="4:4" x14ac:dyDescent="0.3">
      <c r="D2578" s="348"/>
    </row>
    <row r="2579" spans="4:4" x14ac:dyDescent="0.3">
      <c r="D2579" s="348"/>
    </row>
    <row r="2580" spans="4:4" x14ac:dyDescent="0.3">
      <c r="D2580" s="348"/>
    </row>
    <row r="2581" spans="4:4" x14ac:dyDescent="0.3">
      <c r="D2581" s="348"/>
    </row>
    <row r="2582" spans="4:4" x14ac:dyDescent="0.3">
      <c r="D2582" s="348"/>
    </row>
    <row r="2583" spans="4:4" x14ac:dyDescent="0.3">
      <c r="D2583" s="348"/>
    </row>
    <row r="2584" spans="4:4" x14ac:dyDescent="0.3">
      <c r="D2584" s="348"/>
    </row>
    <row r="2585" spans="4:4" x14ac:dyDescent="0.3">
      <c r="D2585" s="348"/>
    </row>
    <row r="2586" spans="4:4" x14ac:dyDescent="0.3">
      <c r="D2586" s="348"/>
    </row>
    <row r="2587" spans="4:4" x14ac:dyDescent="0.3">
      <c r="D2587" s="348"/>
    </row>
    <row r="2588" spans="4:4" x14ac:dyDescent="0.3">
      <c r="D2588" s="348"/>
    </row>
    <row r="2589" spans="4:4" x14ac:dyDescent="0.3">
      <c r="D2589" s="348"/>
    </row>
    <row r="2590" spans="4:4" x14ac:dyDescent="0.3">
      <c r="D2590" s="348"/>
    </row>
    <row r="2591" spans="4:4" x14ac:dyDescent="0.3">
      <c r="D2591" s="348"/>
    </row>
    <row r="2592" spans="4:4" x14ac:dyDescent="0.3">
      <c r="D2592" s="348"/>
    </row>
    <row r="2593" spans="4:4" x14ac:dyDescent="0.3">
      <c r="D2593" s="348"/>
    </row>
    <row r="2594" spans="4:4" x14ac:dyDescent="0.3">
      <c r="D2594" s="348"/>
    </row>
    <row r="2595" spans="4:4" x14ac:dyDescent="0.3">
      <c r="D2595" s="348"/>
    </row>
    <row r="2596" spans="4:4" x14ac:dyDescent="0.3">
      <c r="D2596" s="348"/>
    </row>
    <row r="2597" spans="4:4" x14ac:dyDescent="0.3">
      <c r="D2597" s="348"/>
    </row>
    <row r="2598" spans="4:4" x14ac:dyDescent="0.3">
      <c r="D2598" s="348"/>
    </row>
    <row r="2599" spans="4:4" x14ac:dyDescent="0.3">
      <c r="D2599" s="348"/>
    </row>
    <row r="2600" spans="4:4" x14ac:dyDescent="0.3">
      <c r="D2600" s="348"/>
    </row>
    <row r="2601" spans="4:4" x14ac:dyDescent="0.3">
      <c r="D2601" s="348"/>
    </row>
    <row r="2602" spans="4:4" x14ac:dyDescent="0.3">
      <c r="D2602" s="348"/>
    </row>
    <row r="2603" spans="4:4" x14ac:dyDescent="0.3">
      <c r="D2603" s="348"/>
    </row>
    <row r="2604" spans="4:4" x14ac:dyDescent="0.3">
      <c r="D2604" s="348"/>
    </row>
    <row r="2605" spans="4:4" x14ac:dyDescent="0.3">
      <c r="D2605" s="348"/>
    </row>
    <row r="2606" spans="4:4" x14ac:dyDescent="0.3">
      <c r="D2606" s="348"/>
    </row>
    <row r="2607" spans="4:4" x14ac:dyDescent="0.3">
      <c r="D2607" s="348"/>
    </row>
    <row r="2608" spans="4:4" x14ac:dyDescent="0.3">
      <c r="D2608" s="348"/>
    </row>
    <row r="2609" spans="4:4" x14ac:dyDescent="0.3">
      <c r="D2609" s="348"/>
    </row>
    <row r="2610" spans="4:4" x14ac:dyDescent="0.3">
      <c r="D2610" s="348"/>
    </row>
    <row r="2611" spans="4:4" x14ac:dyDescent="0.3">
      <c r="D2611" s="348"/>
    </row>
    <row r="2612" spans="4:4" x14ac:dyDescent="0.3">
      <c r="D2612" s="348"/>
    </row>
    <row r="2613" spans="4:4" x14ac:dyDescent="0.3">
      <c r="D2613" s="348"/>
    </row>
    <row r="2614" spans="4:4" x14ac:dyDescent="0.3">
      <c r="D2614" s="348"/>
    </row>
    <row r="2615" spans="4:4" x14ac:dyDescent="0.3">
      <c r="D2615" s="348"/>
    </row>
    <row r="2616" spans="4:4" x14ac:dyDescent="0.3">
      <c r="D2616" s="348"/>
    </row>
    <row r="2617" spans="4:4" x14ac:dyDescent="0.3">
      <c r="D2617" s="348"/>
    </row>
    <row r="2618" spans="4:4" x14ac:dyDescent="0.3">
      <c r="D2618" s="348"/>
    </row>
    <row r="2619" spans="4:4" x14ac:dyDescent="0.3">
      <c r="D2619" s="348"/>
    </row>
    <row r="2620" spans="4:4" x14ac:dyDescent="0.3">
      <c r="D2620" s="348"/>
    </row>
    <row r="2621" spans="4:4" x14ac:dyDescent="0.3">
      <c r="D2621" s="348"/>
    </row>
    <row r="2622" spans="4:4" x14ac:dyDescent="0.3">
      <c r="D2622" s="348"/>
    </row>
    <row r="2623" spans="4:4" x14ac:dyDescent="0.3">
      <c r="D2623" s="348"/>
    </row>
    <row r="2624" spans="4:4" x14ac:dyDescent="0.3">
      <c r="D2624" s="348"/>
    </row>
    <row r="2625" spans="4:4" x14ac:dyDescent="0.3">
      <c r="D2625" s="348"/>
    </row>
    <row r="2626" spans="4:4" x14ac:dyDescent="0.3">
      <c r="D2626" s="348"/>
    </row>
    <row r="2627" spans="4:4" x14ac:dyDescent="0.3">
      <c r="D2627" s="348"/>
    </row>
    <row r="2628" spans="4:4" x14ac:dyDescent="0.3">
      <c r="D2628" s="348"/>
    </row>
    <row r="2629" spans="4:4" x14ac:dyDescent="0.3">
      <c r="D2629" s="348"/>
    </row>
    <row r="2630" spans="4:4" x14ac:dyDescent="0.3">
      <c r="D2630" s="348"/>
    </row>
    <row r="2631" spans="4:4" x14ac:dyDescent="0.3">
      <c r="D2631" s="348"/>
    </row>
    <row r="2632" spans="4:4" x14ac:dyDescent="0.3">
      <c r="D2632" s="348"/>
    </row>
    <row r="2633" spans="4:4" x14ac:dyDescent="0.3">
      <c r="D2633" s="348"/>
    </row>
    <row r="2634" spans="4:4" x14ac:dyDescent="0.3">
      <c r="D2634" s="348"/>
    </row>
    <row r="2635" spans="4:4" x14ac:dyDescent="0.3">
      <c r="D2635" s="348"/>
    </row>
    <row r="2636" spans="4:4" x14ac:dyDescent="0.3">
      <c r="D2636" s="348"/>
    </row>
    <row r="2637" spans="4:4" x14ac:dyDescent="0.3">
      <c r="D2637" s="348"/>
    </row>
    <row r="2638" spans="4:4" x14ac:dyDescent="0.3">
      <c r="D2638" s="348"/>
    </row>
    <row r="2639" spans="4:4" x14ac:dyDescent="0.3">
      <c r="D2639" s="348"/>
    </row>
    <row r="2640" spans="4:4" x14ac:dyDescent="0.3">
      <c r="D2640" s="348"/>
    </row>
    <row r="2641" spans="4:4" x14ac:dyDescent="0.3">
      <c r="D2641" s="348"/>
    </row>
    <row r="2642" spans="4:4" x14ac:dyDescent="0.3">
      <c r="D2642" s="348"/>
    </row>
    <row r="2643" spans="4:4" x14ac:dyDescent="0.3">
      <c r="D2643" s="348"/>
    </row>
    <row r="2644" spans="4:4" x14ac:dyDescent="0.3">
      <c r="D2644" s="348"/>
    </row>
    <row r="2645" spans="4:4" x14ac:dyDescent="0.3">
      <c r="D2645" s="348"/>
    </row>
    <row r="2646" spans="4:4" x14ac:dyDescent="0.3">
      <c r="D2646" s="348"/>
    </row>
    <row r="2647" spans="4:4" x14ac:dyDescent="0.3">
      <c r="D2647" s="348"/>
    </row>
    <row r="2648" spans="4:4" x14ac:dyDescent="0.3">
      <c r="D2648" s="348"/>
    </row>
    <row r="2649" spans="4:4" x14ac:dyDescent="0.3">
      <c r="D2649" s="348"/>
    </row>
    <row r="2650" spans="4:4" x14ac:dyDescent="0.3">
      <c r="D2650" s="348"/>
    </row>
    <row r="2651" spans="4:4" x14ac:dyDescent="0.3">
      <c r="D2651" s="348"/>
    </row>
    <row r="2652" spans="4:4" x14ac:dyDescent="0.3">
      <c r="D2652" s="348"/>
    </row>
    <row r="2653" spans="4:4" x14ac:dyDescent="0.3">
      <c r="D2653" s="348"/>
    </row>
    <row r="2654" spans="4:4" x14ac:dyDescent="0.3">
      <c r="D2654" s="348"/>
    </row>
    <row r="2655" spans="4:4" x14ac:dyDescent="0.3">
      <c r="D2655" s="348"/>
    </row>
    <row r="2656" spans="4:4" x14ac:dyDescent="0.3">
      <c r="D2656" s="348"/>
    </row>
    <row r="2657" spans="4:4" x14ac:dyDescent="0.3">
      <c r="D2657" s="348"/>
    </row>
    <row r="2658" spans="4:4" x14ac:dyDescent="0.3">
      <c r="D2658" s="348"/>
    </row>
    <row r="2659" spans="4:4" x14ac:dyDescent="0.3">
      <c r="D2659" s="348"/>
    </row>
    <row r="2660" spans="4:4" x14ac:dyDescent="0.3">
      <c r="D2660" s="348"/>
    </row>
    <row r="2661" spans="4:4" x14ac:dyDescent="0.3">
      <c r="D2661" s="348"/>
    </row>
    <row r="2662" spans="4:4" x14ac:dyDescent="0.3">
      <c r="D2662" s="348"/>
    </row>
    <row r="2663" spans="4:4" x14ac:dyDescent="0.3">
      <c r="D2663" s="348"/>
    </row>
    <row r="2664" spans="4:4" x14ac:dyDescent="0.3">
      <c r="D2664" s="348"/>
    </row>
    <row r="2665" spans="4:4" x14ac:dyDescent="0.3">
      <c r="D2665" s="348"/>
    </row>
    <row r="2666" spans="4:4" x14ac:dyDescent="0.3">
      <c r="D2666" s="348"/>
    </row>
    <row r="2667" spans="4:4" x14ac:dyDescent="0.3">
      <c r="D2667" s="348"/>
    </row>
    <row r="2668" spans="4:4" x14ac:dyDescent="0.3">
      <c r="D2668" s="348"/>
    </row>
    <row r="2669" spans="4:4" x14ac:dyDescent="0.3">
      <c r="D2669" s="348"/>
    </row>
    <row r="2670" spans="4:4" x14ac:dyDescent="0.3">
      <c r="D2670" s="348"/>
    </row>
    <row r="2671" spans="4:4" x14ac:dyDescent="0.3">
      <c r="D2671" s="348"/>
    </row>
    <row r="2672" spans="4:4" x14ac:dyDescent="0.3">
      <c r="D2672" s="348"/>
    </row>
    <row r="2673" spans="4:4" x14ac:dyDescent="0.3">
      <c r="D2673" s="348"/>
    </row>
    <row r="2674" spans="4:4" x14ac:dyDescent="0.3">
      <c r="D2674" s="348"/>
    </row>
    <row r="2675" spans="4:4" x14ac:dyDescent="0.3">
      <c r="D2675" s="348"/>
    </row>
    <row r="2676" spans="4:4" x14ac:dyDescent="0.3">
      <c r="D2676" s="348"/>
    </row>
    <row r="2677" spans="4:4" x14ac:dyDescent="0.3">
      <c r="D2677" s="348"/>
    </row>
    <row r="2678" spans="4:4" x14ac:dyDescent="0.3">
      <c r="D2678" s="348"/>
    </row>
    <row r="2679" spans="4:4" x14ac:dyDescent="0.3">
      <c r="D2679" s="348"/>
    </row>
    <row r="2680" spans="4:4" x14ac:dyDescent="0.3">
      <c r="D2680" s="348"/>
    </row>
    <row r="2681" spans="4:4" x14ac:dyDescent="0.3">
      <c r="D2681" s="348"/>
    </row>
    <row r="2682" spans="4:4" x14ac:dyDescent="0.3">
      <c r="D2682" s="348"/>
    </row>
    <row r="2683" spans="4:4" x14ac:dyDescent="0.3">
      <c r="D2683" s="348"/>
    </row>
    <row r="2684" spans="4:4" x14ac:dyDescent="0.3">
      <c r="D2684" s="348"/>
    </row>
    <row r="2685" spans="4:4" x14ac:dyDescent="0.3">
      <c r="D2685" s="348"/>
    </row>
    <row r="2686" spans="4:4" x14ac:dyDescent="0.3">
      <c r="D2686" s="348"/>
    </row>
    <row r="2687" spans="4:4" x14ac:dyDescent="0.3">
      <c r="D2687" s="348"/>
    </row>
    <row r="2688" spans="4:4" x14ac:dyDescent="0.3">
      <c r="D2688" s="348"/>
    </row>
    <row r="2689" spans="4:4" x14ac:dyDescent="0.3">
      <c r="D2689" s="348"/>
    </row>
    <row r="2690" spans="4:4" x14ac:dyDescent="0.3">
      <c r="D2690" s="348"/>
    </row>
    <row r="2691" spans="4:4" x14ac:dyDescent="0.3">
      <c r="D2691" s="348"/>
    </row>
    <row r="2692" spans="4:4" x14ac:dyDescent="0.3">
      <c r="D2692" s="348"/>
    </row>
    <row r="2693" spans="4:4" x14ac:dyDescent="0.3">
      <c r="D2693" s="348"/>
    </row>
    <row r="2694" spans="4:4" x14ac:dyDescent="0.3">
      <c r="D2694" s="348"/>
    </row>
    <row r="2695" spans="4:4" x14ac:dyDescent="0.3">
      <c r="D2695" s="348"/>
    </row>
    <row r="2696" spans="4:4" x14ac:dyDescent="0.3">
      <c r="D2696" s="348"/>
    </row>
    <row r="2697" spans="4:4" x14ac:dyDescent="0.3">
      <c r="D2697" s="348"/>
    </row>
    <row r="2698" spans="4:4" x14ac:dyDescent="0.3">
      <c r="D2698" s="348"/>
    </row>
    <row r="2699" spans="4:4" x14ac:dyDescent="0.3">
      <c r="D2699" s="348"/>
    </row>
    <row r="2700" spans="4:4" x14ac:dyDescent="0.3">
      <c r="D2700" s="348"/>
    </row>
    <row r="2701" spans="4:4" x14ac:dyDescent="0.3">
      <c r="D2701" s="348"/>
    </row>
    <row r="2702" spans="4:4" x14ac:dyDescent="0.3">
      <c r="D2702" s="348"/>
    </row>
    <row r="2703" spans="4:4" x14ac:dyDescent="0.3">
      <c r="D2703" s="348"/>
    </row>
    <row r="2704" spans="4:4" x14ac:dyDescent="0.3">
      <c r="D2704" s="348"/>
    </row>
    <row r="2705" spans="4:4" x14ac:dyDescent="0.3">
      <c r="D2705" s="348"/>
    </row>
    <row r="2706" spans="4:4" x14ac:dyDescent="0.3">
      <c r="D2706" s="348"/>
    </row>
    <row r="2707" spans="4:4" x14ac:dyDescent="0.3">
      <c r="D2707" s="348"/>
    </row>
    <row r="2708" spans="4:4" x14ac:dyDescent="0.3">
      <c r="D2708" s="348"/>
    </row>
    <row r="2709" spans="4:4" x14ac:dyDescent="0.3">
      <c r="D2709" s="348"/>
    </row>
    <row r="2710" spans="4:4" x14ac:dyDescent="0.3">
      <c r="D2710" s="348"/>
    </row>
    <row r="2711" spans="4:4" x14ac:dyDescent="0.3">
      <c r="D2711" s="348"/>
    </row>
    <row r="2712" spans="4:4" x14ac:dyDescent="0.3">
      <c r="D2712" s="348"/>
    </row>
    <row r="2713" spans="4:4" x14ac:dyDescent="0.3">
      <c r="D2713" s="348"/>
    </row>
    <row r="2714" spans="4:4" x14ac:dyDescent="0.3">
      <c r="D2714" s="348"/>
    </row>
    <row r="2715" spans="4:4" x14ac:dyDescent="0.3">
      <c r="D2715" s="348"/>
    </row>
    <row r="2716" spans="4:4" x14ac:dyDescent="0.3">
      <c r="D2716" s="348"/>
    </row>
    <row r="2717" spans="4:4" x14ac:dyDescent="0.3">
      <c r="D2717" s="348"/>
    </row>
    <row r="2718" spans="4:4" x14ac:dyDescent="0.3">
      <c r="D2718" s="348"/>
    </row>
    <row r="2719" spans="4:4" x14ac:dyDescent="0.3">
      <c r="D2719" s="348"/>
    </row>
    <row r="2720" spans="4:4" x14ac:dyDescent="0.3">
      <c r="D2720" s="348"/>
    </row>
    <row r="2721" spans="4:4" x14ac:dyDescent="0.3">
      <c r="D2721" s="348"/>
    </row>
    <row r="2722" spans="4:4" x14ac:dyDescent="0.3">
      <c r="D2722" s="348"/>
    </row>
    <row r="2723" spans="4:4" x14ac:dyDescent="0.3">
      <c r="D2723" s="348"/>
    </row>
    <row r="2724" spans="4:4" x14ac:dyDescent="0.3">
      <c r="D2724" s="348"/>
    </row>
    <row r="2725" spans="4:4" x14ac:dyDescent="0.3">
      <c r="D2725" s="348"/>
    </row>
    <row r="2726" spans="4:4" x14ac:dyDescent="0.3">
      <c r="D2726" s="348"/>
    </row>
    <row r="2727" spans="4:4" x14ac:dyDescent="0.3">
      <c r="D2727" s="348"/>
    </row>
    <row r="2728" spans="4:4" x14ac:dyDescent="0.3">
      <c r="D2728" s="348"/>
    </row>
    <row r="2729" spans="4:4" x14ac:dyDescent="0.3">
      <c r="D2729" s="348"/>
    </row>
    <row r="2730" spans="4:4" x14ac:dyDescent="0.3">
      <c r="D2730" s="348"/>
    </row>
    <row r="2731" spans="4:4" x14ac:dyDescent="0.3">
      <c r="D2731" s="348"/>
    </row>
    <row r="2732" spans="4:4" x14ac:dyDescent="0.3">
      <c r="D2732" s="348"/>
    </row>
    <row r="2733" spans="4:4" x14ac:dyDescent="0.3">
      <c r="D2733" s="348"/>
    </row>
    <row r="2734" spans="4:4" x14ac:dyDescent="0.3">
      <c r="D2734" s="348"/>
    </row>
    <row r="2735" spans="4:4" x14ac:dyDescent="0.3">
      <c r="D2735" s="348"/>
    </row>
    <row r="2736" spans="4:4" x14ac:dyDescent="0.3">
      <c r="D2736" s="348"/>
    </row>
    <row r="2737" spans="4:4" x14ac:dyDescent="0.3">
      <c r="D2737" s="348"/>
    </row>
    <row r="2738" spans="4:4" x14ac:dyDescent="0.3">
      <c r="D2738" s="348"/>
    </row>
    <row r="2739" spans="4:4" x14ac:dyDescent="0.3">
      <c r="D2739" s="348"/>
    </row>
    <row r="2740" spans="4:4" x14ac:dyDescent="0.3">
      <c r="D2740" s="348"/>
    </row>
    <row r="2741" spans="4:4" x14ac:dyDescent="0.3">
      <c r="D2741" s="348"/>
    </row>
    <row r="2742" spans="4:4" x14ac:dyDescent="0.3">
      <c r="D2742" s="348"/>
    </row>
    <row r="2743" spans="4:4" x14ac:dyDescent="0.3">
      <c r="D2743" s="348"/>
    </row>
    <row r="2744" spans="4:4" x14ac:dyDescent="0.3">
      <c r="D2744" s="348"/>
    </row>
    <row r="2745" spans="4:4" x14ac:dyDescent="0.3">
      <c r="D2745" s="348"/>
    </row>
    <row r="2746" spans="4:4" x14ac:dyDescent="0.3">
      <c r="D2746" s="348"/>
    </row>
    <row r="2747" spans="4:4" x14ac:dyDescent="0.3">
      <c r="D2747" s="348"/>
    </row>
    <row r="2748" spans="4:4" x14ac:dyDescent="0.3">
      <c r="D2748" s="348"/>
    </row>
    <row r="2749" spans="4:4" x14ac:dyDescent="0.3">
      <c r="D2749" s="348"/>
    </row>
    <row r="2750" spans="4:4" x14ac:dyDescent="0.3">
      <c r="D2750" s="348"/>
    </row>
    <row r="2751" spans="4:4" x14ac:dyDescent="0.3">
      <c r="D2751" s="348"/>
    </row>
    <row r="2752" spans="4:4" x14ac:dyDescent="0.3">
      <c r="D2752" s="348"/>
    </row>
    <row r="2753" spans="4:4" x14ac:dyDescent="0.3">
      <c r="D2753" s="348"/>
    </row>
    <row r="2754" spans="4:4" x14ac:dyDescent="0.3">
      <c r="D2754" s="348"/>
    </row>
    <row r="2755" spans="4:4" x14ac:dyDescent="0.3">
      <c r="D2755" s="348"/>
    </row>
    <row r="2756" spans="4:4" x14ac:dyDescent="0.3">
      <c r="D2756" s="348"/>
    </row>
    <row r="2757" spans="4:4" x14ac:dyDescent="0.3">
      <c r="D2757" s="348"/>
    </row>
    <row r="2758" spans="4:4" x14ac:dyDescent="0.3">
      <c r="D2758" s="348"/>
    </row>
    <row r="2759" spans="4:4" x14ac:dyDescent="0.3">
      <c r="D2759" s="348"/>
    </row>
    <row r="2760" spans="4:4" x14ac:dyDescent="0.3">
      <c r="D2760" s="348"/>
    </row>
    <row r="2761" spans="4:4" x14ac:dyDescent="0.3">
      <c r="D2761" s="348"/>
    </row>
    <row r="2762" spans="4:4" x14ac:dyDescent="0.3">
      <c r="D2762" s="348"/>
    </row>
    <row r="2763" spans="4:4" x14ac:dyDescent="0.3">
      <c r="D2763" s="348"/>
    </row>
    <row r="2764" spans="4:4" x14ac:dyDescent="0.3">
      <c r="D2764" s="348"/>
    </row>
    <row r="2765" spans="4:4" x14ac:dyDescent="0.3">
      <c r="D2765" s="348"/>
    </row>
    <row r="2766" spans="4:4" x14ac:dyDescent="0.3">
      <c r="D2766" s="348"/>
    </row>
    <row r="2767" spans="4:4" x14ac:dyDescent="0.3">
      <c r="D2767" s="348"/>
    </row>
    <row r="2768" spans="4:4" x14ac:dyDescent="0.3">
      <c r="D2768" s="348"/>
    </row>
    <row r="2769" spans="4:4" x14ac:dyDescent="0.3">
      <c r="D2769" s="348"/>
    </row>
    <row r="2770" spans="4:4" x14ac:dyDescent="0.3">
      <c r="D2770" s="348"/>
    </row>
    <row r="2771" spans="4:4" x14ac:dyDescent="0.3">
      <c r="D2771" s="348"/>
    </row>
    <row r="2772" spans="4:4" x14ac:dyDescent="0.3">
      <c r="D2772" s="348"/>
    </row>
    <row r="2773" spans="4:4" x14ac:dyDescent="0.3">
      <c r="D2773" s="348"/>
    </row>
    <row r="2774" spans="4:4" x14ac:dyDescent="0.3">
      <c r="D2774" s="348"/>
    </row>
    <row r="2775" spans="4:4" x14ac:dyDescent="0.3">
      <c r="D2775" s="348"/>
    </row>
    <row r="2776" spans="4:4" x14ac:dyDescent="0.3">
      <c r="D2776" s="348"/>
    </row>
    <row r="2777" spans="4:4" x14ac:dyDescent="0.3">
      <c r="D2777" s="348"/>
    </row>
    <row r="2778" spans="4:4" x14ac:dyDescent="0.3">
      <c r="D2778" s="348"/>
    </row>
    <row r="2779" spans="4:4" x14ac:dyDescent="0.3">
      <c r="D2779" s="348"/>
    </row>
    <row r="2780" spans="4:4" x14ac:dyDescent="0.3">
      <c r="D2780" s="348"/>
    </row>
    <row r="2781" spans="4:4" x14ac:dyDescent="0.3">
      <c r="D2781" s="348"/>
    </row>
    <row r="2782" spans="4:4" x14ac:dyDescent="0.3">
      <c r="D2782" s="348"/>
    </row>
    <row r="2783" spans="4:4" x14ac:dyDescent="0.3">
      <c r="D2783" s="348"/>
    </row>
    <row r="2784" spans="4:4" x14ac:dyDescent="0.3">
      <c r="D2784" s="348"/>
    </row>
    <row r="2785" spans="4:4" x14ac:dyDescent="0.3">
      <c r="D2785" s="348"/>
    </row>
    <row r="2786" spans="4:4" x14ac:dyDescent="0.3">
      <c r="D2786" s="348"/>
    </row>
    <row r="2787" spans="4:4" x14ac:dyDescent="0.3">
      <c r="D2787" s="348"/>
    </row>
    <row r="2788" spans="4:4" x14ac:dyDescent="0.3">
      <c r="D2788" s="348"/>
    </row>
    <row r="2789" spans="4:4" x14ac:dyDescent="0.3">
      <c r="D2789" s="348"/>
    </row>
    <row r="2790" spans="4:4" x14ac:dyDescent="0.3">
      <c r="D2790" s="348"/>
    </row>
    <row r="2791" spans="4:4" x14ac:dyDescent="0.3">
      <c r="D2791" s="348"/>
    </row>
    <row r="2792" spans="4:4" x14ac:dyDescent="0.3">
      <c r="D2792" s="348"/>
    </row>
    <row r="2793" spans="4:4" x14ac:dyDescent="0.3">
      <c r="D2793" s="348"/>
    </row>
    <row r="2794" spans="4:4" x14ac:dyDescent="0.3">
      <c r="D2794" s="348"/>
    </row>
    <row r="2795" spans="4:4" x14ac:dyDescent="0.3">
      <c r="D2795" s="348"/>
    </row>
    <row r="2796" spans="4:4" x14ac:dyDescent="0.3">
      <c r="D2796" s="348"/>
    </row>
    <row r="2797" spans="4:4" x14ac:dyDescent="0.3">
      <c r="D2797" s="348"/>
    </row>
    <row r="2798" spans="4:4" x14ac:dyDescent="0.3">
      <c r="D2798" s="348"/>
    </row>
    <row r="2799" spans="4:4" x14ac:dyDescent="0.3">
      <c r="D2799" s="348"/>
    </row>
    <row r="2800" spans="4:4" x14ac:dyDescent="0.3">
      <c r="D2800" s="348"/>
    </row>
    <row r="2801" spans="4:4" x14ac:dyDescent="0.3">
      <c r="D2801" s="348"/>
    </row>
    <row r="2802" spans="4:4" x14ac:dyDescent="0.3">
      <c r="D2802" s="348"/>
    </row>
    <row r="2803" spans="4:4" x14ac:dyDescent="0.3">
      <c r="D2803" s="348"/>
    </row>
    <row r="2804" spans="4:4" x14ac:dyDescent="0.3">
      <c r="D2804" s="348"/>
    </row>
    <row r="2805" spans="4:4" x14ac:dyDescent="0.3">
      <c r="D2805" s="348"/>
    </row>
    <row r="2806" spans="4:4" x14ac:dyDescent="0.3">
      <c r="D2806" s="348"/>
    </row>
    <row r="2807" spans="4:4" x14ac:dyDescent="0.3">
      <c r="D2807" s="348"/>
    </row>
    <row r="2808" spans="4:4" x14ac:dyDescent="0.3">
      <c r="D2808" s="348"/>
    </row>
    <row r="2809" spans="4:4" x14ac:dyDescent="0.3">
      <c r="D2809" s="348"/>
    </row>
    <row r="2810" spans="4:4" x14ac:dyDescent="0.3">
      <c r="D2810" s="348"/>
    </row>
    <row r="2811" spans="4:4" x14ac:dyDescent="0.3">
      <c r="D2811" s="348"/>
    </row>
    <row r="2812" spans="4:4" x14ac:dyDescent="0.3">
      <c r="D2812" s="348"/>
    </row>
    <row r="2813" spans="4:4" x14ac:dyDescent="0.3">
      <c r="D2813" s="348"/>
    </row>
    <row r="2814" spans="4:4" x14ac:dyDescent="0.3">
      <c r="D2814" s="348"/>
    </row>
    <row r="2815" spans="4:4" x14ac:dyDescent="0.3">
      <c r="D2815" s="348"/>
    </row>
    <row r="2816" spans="4:4" x14ac:dyDescent="0.3">
      <c r="D2816" s="348"/>
    </row>
    <row r="2817" spans="4:4" x14ac:dyDescent="0.3">
      <c r="D2817" s="348"/>
    </row>
    <row r="2818" spans="4:4" x14ac:dyDescent="0.3">
      <c r="D2818" s="348"/>
    </row>
    <row r="2819" spans="4:4" x14ac:dyDescent="0.3">
      <c r="D2819" s="348"/>
    </row>
    <row r="2820" spans="4:4" x14ac:dyDescent="0.3">
      <c r="D2820" s="348"/>
    </row>
    <row r="2821" spans="4:4" x14ac:dyDescent="0.3">
      <c r="D2821" s="348"/>
    </row>
    <row r="2822" spans="4:4" x14ac:dyDescent="0.3">
      <c r="D2822" s="348"/>
    </row>
    <row r="2823" spans="4:4" x14ac:dyDescent="0.3">
      <c r="D2823" s="348"/>
    </row>
    <row r="2824" spans="4:4" x14ac:dyDescent="0.3">
      <c r="D2824" s="348"/>
    </row>
    <row r="2825" spans="4:4" x14ac:dyDescent="0.3">
      <c r="D2825" s="348"/>
    </row>
    <row r="2826" spans="4:4" x14ac:dyDescent="0.3">
      <c r="D2826" s="348"/>
    </row>
    <row r="2827" spans="4:4" x14ac:dyDescent="0.3">
      <c r="D2827" s="348"/>
    </row>
    <row r="2828" spans="4:4" x14ac:dyDescent="0.3">
      <c r="D2828" s="348"/>
    </row>
    <row r="2829" spans="4:4" x14ac:dyDescent="0.3">
      <c r="D2829" s="348"/>
    </row>
    <row r="2830" spans="4:4" x14ac:dyDescent="0.3">
      <c r="D2830" s="348"/>
    </row>
    <row r="2831" spans="4:4" x14ac:dyDescent="0.3">
      <c r="D2831" s="348"/>
    </row>
    <row r="2832" spans="4:4" x14ac:dyDescent="0.3">
      <c r="D2832" s="348"/>
    </row>
    <row r="2833" spans="4:4" x14ac:dyDescent="0.3">
      <c r="D2833" s="348"/>
    </row>
    <row r="2834" spans="4:4" x14ac:dyDescent="0.3">
      <c r="D2834" s="348"/>
    </row>
    <row r="2835" spans="4:4" x14ac:dyDescent="0.3">
      <c r="D2835" s="348"/>
    </row>
    <row r="2836" spans="4:4" x14ac:dyDescent="0.3">
      <c r="D2836" s="348"/>
    </row>
    <row r="2837" spans="4:4" x14ac:dyDescent="0.3">
      <c r="D2837" s="348"/>
    </row>
    <row r="2838" spans="4:4" x14ac:dyDescent="0.3">
      <c r="D2838" s="348"/>
    </row>
    <row r="2839" spans="4:4" x14ac:dyDescent="0.3">
      <c r="D2839" s="348"/>
    </row>
    <row r="2840" spans="4:4" x14ac:dyDescent="0.3">
      <c r="D2840" s="348"/>
    </row>
    <row r="2841" spans="4:4" x14ac:dyDescent="0.3">
      <c r="D2841" s="348"/>
    </row>
    <row r="2842" spans="4:4" x14ac:dyDescent="0.3">
      <c r="D2842" s="348"/>
    </row>
    <row r="2843" spans="4:4" x14ac:dyDescent="0.3">
      <c r="D2843" s="348"/>
    </row>
    <row r="2844" spans="4:4" x14ac:dyDescent="0.3">
      <c r="D2844" s="348"/>
    </row>
    <row r="2845" spans="4:4" x14ac:dyDescent="0.3">
      <c r="D2845" s="348"/>
    </row>
    <row r="2846" spans="4:4" x14ac:dyDescent="0.3">
      <c r="D2846" s="348"/>
    </row>
    <row r="2847" spans="4:4" x14ac:dyDescent="0.3">
      <c r="D2847" s="348"/>
    </row>
    <row r="2848" spans="4:4" x14ac:dyDescent="0.3">
      <c r="D2848" s="348"/>
    </row>
    <row r="2849" spans="4:4" x14ac:dyDescent="0.3">
      <c r="D2849" s="348"/>
    </row>
    <row r="2850" spans="4:4" x14ac:dyDescent="0.3">
      <c r="D2850" s="348"/>
    </row>
    <row r="2851" spans="4:4" x14ac:dyDescent="0.3">
      <c r="D2851" s="348"/>
    </row>
    <row r="2852" spans="4:4" x14ac:dyDescent="0.3">
      <c r="D2852" s="348"/>
    </row>
    <row r="2853" spans="4:4" x14ac:dyDescent="0.3">
      <c r="D2853" s="348"/>
    </row>
    <row r="2854" spans="4:4" x14ac:dyDescent="0.3">
      <c r="D2854" s="348"/>
    </row>
    <row r="2855" spans="4:4" x14ac:dyDescent="0.3">
      <c r="D2855" s="348"/>
    </row>
    <row r="2856" spans="4:4" x14ac:dyDescent="0.3">
      <c r="D2856" s="348"/>
    </row>
    <row r="2857" spans="4:4" x14ac:dyDescent="0.3">
      <c r="D2857" s="348"/>
    </row>
    <row r="2858" spans="4:4" x14ac:dyDescent="0.3">
      <c r="D2858" s="348"/>
    </row>
    <row r="2859" spans="4:4" x14ac:dyDescent="0.3">
      <c r="D2859" s="348"/>
    </row>
    <row r="2860" spans="4:4" x14ac:dyDescent="0.3">
      <c r="D2860" s="348"/>
    </row>
    <row r="2861" spans="4:4" x14ac:dyDescent="0.3">
      <c r="D2861" s="348"/>
    </row>
    <row r="2862" spans="4:4" x14ac:dyDescent="0.3">
      <c r="D2862" s="348"/>
    </row>
    <row r="2863" spans="4:4" x14ac:dyDescent="0.3">
      <c r="D2863" s="348"/>
    </row>
    <row r="2864" spans="4:4" x14ac:dyDescent="0.3">
      <c r="D2864" s="348"/>
    </row>
    <row r="2865" spans="4:4" x14ac:dyDescent="0.3">
      <c r="D2865" s="348"/>
    </row>
    <row r="2866" spans="4:4" x14ac:dyDescent="0.3">
      <c r="D2866" s="348"/>
    </row>
    <row r="2867" spans="4:4" x14ac:dyDescent="0.3">
      <c r="D2867" s="348"/>
    </row>
    <row r="2868" spans="4:4" x14ac:dyDescent="0.3">
      <c r="D2868" s="348"/>
    </row>
    <row r="2869" spans="4:4" x14ac:dyDescent="0.3">
      <c r="D2869" s="348"/>
    </row>
    <row r="2870" spans="4:4" x14ac:dyDescent="0.3">
      <c r="D2870" s="348"/>
    </row>
    <row r="2871" spans="4:4" x14ac:dyDescent="0.3">
      <c r="D2871" s="348"/>
    </row>
    <row r="2872" spans="4:4" x14ac:dyDescent="0.3">
      <c r="D2872" s="348"/>
    </row>
    <row r="2873" spans="4:4" x14ac:dyDescent="0.3">
      <c r="D2873" s="348"/>
    </row>
    <row r="2874" spans="4:4" x14ac:dyDescent="0.3">
      <c r="D2874" s="348"/>
    </row>
    <row r="2875" spans="4:4" x14ac:dyDescent="0.3">
      <c r="D2875" s="348"/>
    </row>
    <row r="2876" spans="4:4" x14ac:dyDescent="0.3">
      <c r="D2876" s="348"/>
    </row>
    <row r="2877" spans="4:4" x14ac:dyDescent="0.3">
      <c r="D2877" s="348"/>
    </row>
    <row r="2878" spans="4:4" x14ac:dyDescent="0.3">
      <c r="D2878" s="348"/>
    </row>
    <row r="2879" spans="4:4" x14ac:dyDescent="0.3">
      <c r="D2879" s="348"/>
    </row>
    <row r="2880" spans="4:4" x14ac:dyDescent="0.3">
      <c r="D2880" s="348"/>
    </row>
    <row r="2881" spans="4:4" x14ac:dyDescent="0.3">
      <c r="D2881" s="348"/>
    </row>
    <row r="2882" spans="4:4" x14ac:dyDescent="0.3">
      <c r="D2882" s="348"/>
    </row>
    <row r="2883" spans="4:4" x14ac:dyDescent="0.3">
      <c r="D2883" s="348"/>
    </row>
    <row r="2884" spans="4:4" x14ac:dyDescent="0.3">
      <c r="D2884" s="348"/>
    </row>
    <row r="2885" spans="4:4" x14ac:dyDescent="0.3">
      <c r="D2885" s="348"/>
    </row>
    <row r="2886" spans="4:4" x14ac:dyDescent="0.3">
      <c r="D2886" s="348"/>
    </row>
    <row r="2887" spans="4:4" x14ac:dyDescent="0.3">
      <c r="D2887" s="348"/>
    </row>
    <row r="2888" spans="4:4" x14ac:dyDescent="0.3">
      <c r="D2888" s="348"/>
    </row>
    <row r="2889" spans="4:4" x14ac:dyDescent="0.3">
      <c r="D2889" s="348"/>
    </row>
    <row r="2890" spans="4:4" x14ac:dyDescent="0.3">
      <c r="D2890" s="348"/>
    </row>
    <row r="2891" spans="4:4" x14ac:dyDescent="0.3">
      <c r="D2891" s="348"/>
    </row>
    <row r="2892" spans="4:4" x14ac:dyDescent="0.3">
      <c r="D2892" s="348"/>
    </row>
    <row r="2893" spans="4:4" x14ac:dyDescent="0.3">
      <c r="D2893" s="348"/>
    </row>
    <row r="2894" spans="4:4" x14ac:dyDescent="0.3">
      <c r="D2894" s="348"/>
    </row>
    <row r="2895" spans="4:4" x14ac:dyDescent="0.3">
      <c r="D2895" s="348"/>
    </row>
    <row r="2896" spans="4:4" x14ac:dyDescent="0.3">
      <c r="D2896" s="348"/>
    </row>
    <row r="2897" spans="4:4" x14ac:dyDescent="0.3">
      <c r="D2897" s="348"/>
    </row>
    <row r="2898" spans="4:4" x14ac:dyDescent="0.3">
      <c r="D2898" s="348"/>
    </row>
    <row r="2899" spans="4:4" x14ac:dyDescent="0.3">
      <c r="D2899" s="348"/>
    </row>
    <row r="2900" spans="4:4" x14ac:dyDescent="0.3">
      <c r="D2900" s="348"/>
    </row>
    <row r="2901" spans="4:4" x14ac:dyDescent="0.3">
      <c r="D2901" s="348"/>
    </row>
    <row r="2902" spans="4:4" x14ac:dyDescent="0.3">
      <c r="D2902" s="348"/>
    </row>
    <row r="2903" spans="4:4" x14ac:dyDescent="0.3">
      <c r="D2903" s="348"/>
    </row>
    <row r="2904" spans="4:4" x14ac:dyDescent="0.3">
      <c r="D2904" s="348"/>
    </row>
    <row r="2905" spans="4:4" x14ac:dyDescent="0.3">
      <c r="D2905" s="348"/>
    </row>
    <row r="2906" spans="4:4" x14ac:dyDescent="0.3">
      <c r="D2906" s="348"/>
    </row>
    <row r="2907" spans="4:4" x14ac:dyDescent="0.3">
      <c r="D2907" s="348"/>
    </row>
    <row r="2908" spans="4:4" x14ac:dyDescent="0.3">
      <c r="D2908" s="348"/>
    </row>
    <row r="2909" spans="4:4" x14ac:dyDescent="0.3">
      <c r="D2909" s="348"/>
    </row>
    <row r="2910" spans="4:4" x14ac:dyDescent="0.3">
      <c r="D2910" s="348"/>
    </row>
    <row r="2911" spans="4:4" x14ac:dyDescent="0.3">
      <c r="D2911" s="348"/>
    </row>
    <row r="2912" spans="4:4" x14ac:dyDescent="0.3">
      <c r="D2912" s="348"/>
    </row>
    <row r="2913" spans="4:4" x14ac:dyDescent="0.3">
      <c r="D2913" s="348"/>
    </row>
    <row r="2914" spans="4:4" x14ac:dyDescent="0.3">
      <c r="D2914" s="348"/>
    </row>
    <row r="2915" spans="4:4" x14ac:dyDescent="0.3">
      <c r="D2915" s="348"/>
    </row>
    <row r="2916" spans="4:4" x14ac:dyDescent="0.3">
      <c r="D2916" s="348"/>
    </row>
    <row r="2917" spans="4:4" x14ac:dyDescent="0.3">
      <c r="D2917" s="348"/>
    </row>
    <row r="2918" spans="4:4" x14ac:dyDescent="0.3">
      <c r="D2918" s="348"/>
    </row>
    <row r="2919" spans="4:4" x14ac:dyDescent="0.3">
      <c r="D2919" s="348"/>
    </row>
    <row r="2920" spans="4:4" x14ac:dyDescent="0.3">
      <c r="D2920" s="348"/>
    </row>
    <row r="2921" spans="4:4" x14ac:dyDescent="0.3">
      <c r="D2921" s="348"/>
    </row>
    <row r="2922" spans="4:4" x14ac:dyDescent="0.3">
      <c r="D2922" s="348"/>
    </row>
    <row r="2923" spans="4:4" x14ac:dyDescent="0.3">
      <c r="D2923" s="348"/>
    </row>
    <row r="2924" spans="4:4" x14ac:dyDescent="0.3">
      <c r="D2924" s="348"/>
    </row>
    <row r="2925" spans="4:4" x14ac:dyDescent="0.3">
      <c r="D2925" s="348"/>
    </row>
    <row r="2926" spans="4:4" x14ac:dyDescent="0.3">
      <c r="D2926" s="348"/>
    </row>
    <row r="2927" spans="4:4" x14ac:dyDescent="0.3">
      <c r="D2927" s="348"/>
    </row>
    <row r="2928" spans="4:4" x14ac:dyDescent="0.3">
      <c r="D2928" s="348"/>
    </row>
    <row r="2929" spans="4:4" x14ac:dyDescent="0.3">
      <c r="D2929" s="348"/>
    </row>
    <row r="2930" spans="4:4" x14ac:dyDescent="0.3">
      <c r="D2930" s="348"/>
    </row>
    <row r="2931" spans="4:4" x14ac:dyDescent="0.3">
      <c r="D2931" s="348"/>
    </row>
    <row r="2932" spans="4:4" x14ac:dyDescent="0.3">
      <c r="D2932" s="348"/>
    </row>
    <row r="2933" spans="4:4" x14ac:dyDescent="0.3">
      <c r="D2933" s="348"/>
    </row>
    <row r="2934" spans="4:4" x14ac:dyDescent="0.3">
      <c r="D2934" s="348"/>
    </row>
    <row r="2935" spans="4:4" x14ac:dyDescent="0.3">
      <c r="D2935" s="348"/>
    </row>
    <row r="2936" spans="4:4" x14ac:dyDescent="0.3">
      <c r="D2936" s="348"/>
    </row>
    <row r="2937" spans="4:4" x14ac:dyDescent="0.3">
      <c r="D2937" s="348"/>
    </row>
    <row r="2938" spans="4:4" x14ac:dyDescent="0.3">
      <c r="D2938" s="348"/>
    </row>
    <row r="2939" spans="4:4" x14ac:dyDescent="0.3">
      <c r="D2939" s="348"/>
    </row>
    <row r="2940" spans="4:4" x14ac:dyDescent="0.3">
      <c r="D2940" s="348"/>
    </row>
    <row r="2941" spans="4:4" x14ac:dyDescent="0.3">
      <c r="D2941" s="348"/>
    </row>
    <row r="2942" spans="4:4" x14ac:dyDescent="0.3">
      <c r="D2942" s="348"/>
    </row>
    <row r="2943" spans="4:4" x14ac:dyDescent="0.3">
      <c r="D2943" s="348"/>
    </row>
    <row r="2944" spans="4:4" x14ac:dyDescent="0.3">
      <c r="D2944" s="348"/>
    </row>
    <row r="2945" spans="4:4" x14ac:dyDescent="0.3">
      <c r="D2945" s="348"/>
    </row>
    <row r="2946" spans="4:4" x14ac:dyDescent="0.3">
      <c r="D2946" s="348"/>
    </row>
    <row r="2947" spans="4:4" x14ac:dyDescent="0.3">
      <c r="D2947" s="348"/>
    </row>
    <row r="2948" spans="4:4" x14ac:dyDescent="0.3">
      <c r="D2948" s="348"/>
    </row>
    <row r="2949" spans="4:4" x14ac:dyDescent="0.3">
      <c r="D2949" s="348"/>
    </row>
    <row r="2950" spans="4:4" x14ac:dyDescent="0.3">
      <c r="D2950" s="348"/>
    </row>
    <row r="2951" spans="4:4" x14ac:dyDescent="0.3">
      <c r="D2951" s="348"/>
    </row>
    <row r="2952" spans="4:4" x14ac:dyDescent="0.3">
      <c r="D2952" s="348"/>
    </row>
    <row r="2953" spans="4:4" x14ac:dyDescent="0.3">
      <c r="D2953" s="348"/>
    </row>
    <row r="2954" spans="4:4" x14ac:dyDescent="0.3">
      <c r="D2954" s="348"/>
    </row>
    <row r="2955" spans="4:4" x14ac:dyDescent="0.3">
      <c r="D2955" s="348"/>
    </row>
    <row r="2956" spans="4:4" x14ac:dyDescent="0.3">
      <c r="D2956" s="348"/>
    </row>
    <row r="2957" spans="4:4" x14ac:dyDescent="0.3">
      <c r="D2957" s="348"/>
    </row>
    <row r="2958" spans="4:4" x14ac:dyDescent="0.3">
      <c r="D2958" s="348"/>
    </row>
    <row r="2959" spans="4:4" x14ac:dyDescent="0.3">
      <c r="D2959" s="348"/>
    </row>
    <row r="2960" spans="4:4" x14ac:dyDescent="0.3">
      <c r="D2960" s="348"/>
    </row>
    <row r="2961" spans="4:4" x14ac:dyDescent="0.3">
      <c r="D2961" s="348"/>
    </row>
    <row r="2962" spans="4:4" x14ac:dyDescent="0.3">
      <c r="D2962" s="348"/>
    </row>
    <row r="2963" spans="4:4" x14ac:dyDescent="0.3">
      <c r="D2963" s="348"/>
    </row>
    <row r="2964" spans="4:4" x14ac:dyDescent="0.3">
      <c r="D2964" s="348"/>
    </row>
    <row r="2965" spans="4:4" x14ac:dyDescent="0.3">
      <c r="D2965" s="348"/>
    </row>
    <row r="2966" spans="4:4" x14ac:dyDescent="0.3">
      <c r="D2966" s="348"/>
    </row>
    <row r="2967" spans="4:4" x14ac:dyDescent="0.3">
      <c r="D2967" s="348"/>
    </row>
    <row r="2968" spans="4:4" x14ac:dyDescent="0.3">
      <c r="D2968" s="348"/>
    </row>
    <row r="2969" spans="4:4" x14ac:dyDescent="0.3">
      <c r="D2969" s="348"/>
    </row>
    <row r="2970" spans="4:4" x14ac:dyDescent="0.3">
      <c r="D2970" s="348"/>
    </row>
    <row r="2971" spans="4:4" x14ac:dyDescent="0.3">
      <c r="D2971" s="348"/>
    </row>
    <row r="2972" spans="4:4" x14ac:dyDescent="0.3">
      <c r="D2972" s="348"/>
    </row>
    <row r="2973" spans="4:4" x14ac:dyDescent="0.3">
      <c r="D2973" s="348"/>
    </row>
    <row r="2974" spans="4:4" x14ac:dyDescent="0.3">
      <c r="D2974" s="348"/>
    </row>
    <row r="2975" spans="4:4" x14ac:dyDescent="0.3">
      <c r="D2975" s="348"/>
    </row>
    <row r="2976" spans="4:4" x14ac:dyDescent="0.3">
      <c r="D2976" s="348"/>
    </row>
    <row r="2977" spans="4:4" x14ac:dyDescent="0.3">
      <c r="D2977" s="348"/>
    </row>
    <row r="2978" spans="4:4" x14ac:dyDescent="0.3">
      <c r="D2978" s="348"/>
    </row>
    <row r="2979" spans="4:4" x14ac:dyDescent="0.3">
      <c r="D2979" s="348"/>
    </row>
    <row r="2980" spans="4:4" x14ac:dyDescent="0.3">
      <c r="D2980" s="348"/>
    </row>
    <row r="2981" spans="4:4" x14ac:dyDescent="0.3">
      <c r="D2981" s="348"/>
    </row>
    <row r="2982" spans="4:4" x14ac:dyDescent="0.3">
      <c r="D2982" s="348"/>
    </row>
    <row r="2983" spans="4:4" x14ac:dyDescent="0.3">
      <c r="D2983" s="348"/>
    </row>
    <row r="2984" spans="4:4" x14ac:dyDescent="0.3">
      <c r="D2984" s="348"/>
    </row>
    <row r="2985" spans="4:4" x14ac:dyDescent="0.3">
      <c r="D2985" s="348"/>
    </row>
    <row r="2986" spans="4:4" x14ac:dyDescent="0.3">
      <c r="D2986" s="348"/>
    </row>
    <row r="2987" spans="4:4" x14ac:dyDescent="0.3">
      <c r="D2987" s="348"/>
    </row>
    <row r="2988" spans="4:4" x14ac:dyDescent="0.3">
      <c r="D2988" s="348"/>
    </row>
    <row r="2989" spans="4:4" x14ac:dyDescent="0.3">
      <c r="D2989" s="348"/>
    </row>
    <row r="2990" spans="4:4" x14ac:dyDescent="0.3">
      <c r="D2990" s="348"/>
    </row>
    <row r="2991" spans="4:4" x14ac:dyDescent="0.3">
      <c r="D2991" s="348"/>
    </row>
    <row r="2992" spans="4:4" x14ac:dyDescent="0.3">
      <c r="D2992" s="348"/>
    </row>
    <row r="2993" spans="4:4" x14ac:dyDescent="0.3">
      <c r="D2993" s="348"/>
    </row>
    <row r="2994" spans="4:4" x14ac:dyDescent="0.3">
      <c r="D2994" s="348"/>
    </row>
    <row r="2995" spans="4:4" x14ac:dyDescent="0.3">
      <c r="D2995" s="348"/>
    </row>
    <row r="2996" spans="4:4" x14ac:dyDescent="0.3">
      <c r="D2996" s="348"/>
    </row>
    <row r="2997" spans="4:4" x14ac:dyDescent="0.3">
      <c r="D2997" s="348"/>
    </row>
    <row r="2998" spans="4:4" x14ac:dyDescent="0.3">
      <c r="D2998" s="348"/>
    </row>
    <row r="2999" spans="4:4" x14ac:dyDescent="0.3">
      <c r="D2999" s="348"/>
    </row>
    <row r="3000" spans="4:4" x14ac:dyDescent="0.3">
      <c r="D3000" s="348"/>
    </row>
    <row r="3001" spans="4:4" x14ac:dyDescent="0.3">
      <c r="D3001" s="348"/>
    </row>
    <row r="3002" spans="4:4" x14ac:dyDescent="0.3">
      <c r="D3002" s="348"/>
    </row>
    <row r="3003" spans="4:4" x14ac:dyDescent="0.3">
      <c r="D3003" s="348"/>
    </row>
    <row r="3004" spans="4:4" x14ac:dyDescent="0.3">
      <c r="D3004" s="348"/>
    </row>
    <row r="3005" spans="4:4" x14ac:dyDescent="0.3">
      <c r="D3005" s="348"/>
    </row>
    <row r="3006" spans="4:4" x14ac:dyDescent="0.3">
      <c r="D3006" s="348"/>
    </row>
    <row r="3007" spans="4:4" x14ac:dyDescent="0.3">
      <c r="D3007" s="348"/>
    </row>
    <row r="3008" spans="4:4" x14ac:dyDescent="0.3">
      <c r="D3008" s="348"/>
    </row>
    <row r="3009" spans="4:4" x14ac:dyDescent="0.3">
      <c r="D3009" s="348"/>
    </row>
    <row r="3010" spans="4:4" x14ac:dyDescent="0.3">
      <c r="D3010" s="348"/>
    </row>
    <row r="3011" spans="4:4" x14ac:dyDescent="0.3">
      <c r="D3011" s="348"/>
    </row>
    <row r="3012" spans="4:4" x14ac:dyDescent="0.3">
      <c r="D3012" s="348"/>
    </row>
    <row r="3013" spans="4:4" x14ac:dyDescent="0.3">
      <c r="D3013" s="348"/>
    </row>
    <row r="3014" spans="4:4" x14ac:dyDescent="0.3">
      <c r="D3014" s="348"/>
    </row>
    <row r="3015" spans="4:4" x14ac:dyDescent="0.3">
      <c r="D3015" s="348"/>
    </row>
    <row r="3016" spans="4:4" x14ac:dyDescent="0.3">
      <c r="D3016" s="348"/>
    </row>
    <row r="3017" spans="4:4" x14ac:dyDescent="0.3">
      <c r="D3017" s="348"/>
    </row>
    <row r="3018" spans="4:4" x14ac:dyDescent="0.3">
      <c r="D3018" s="348"/>
    </row>
    <row r="3019" spans="4:4" x14ac:dyDescent="0.3">
      <c r="D3019" s="348"/>
    </row>
    <row r="3020" spans="4:4" x14ac:dyDescent="0.3">
      <c r="D3020" s="348"/>
    </row>
    <row r="3021" spans="4:4" x14ac:dyDescent="0.3">
      <c r="D3021" s="348"/>
    </row>
    <row r="3022" spans="4:4" x14ac:dyDescent="0.3">
      <c r="D3022" s="348"/>
    </row>
    <row r="3023" spans="4:4" x14ac:dyDescent="0.3">
      <c r="D3023" s="348"/>
    </row>
    <row r="3024" spans="4:4" x14ac:dyDescent="0.3">
      <c r="D3024" s="348"/>
    </row>
    <row r="3025" spans="4:4" x14ac:dyDescent="0.3">
      <c r="D3025" s="348"/>
    </row>
    <row r="3026" spans="4:4" x14ac:dyDescent="0.3">
      <c r="D3026" s="348"/>
    </row>
    <row r="3027" spans="4:4" x14ac:dyDescent="0.3">
      <c r="D3027" s="348"/>
    </row>
    <row r="3028" spans="4:4" x14ac:dyDescent="0.3">
      <c r="D3028" s="348"/>
    </row>
    <row r="3029" spans="4:4" x14ac:dyDescent="0.3">
      <c r="D3029" s="348"/>
    </row>
    <row r="3030" spans="4:4" x14ac:dyDescent="0.3">
      <c r="D3030" s="348"/>
    </row>
    <row r="3031" spans="4:4" x14ac:dyDescent="0.3">
      <c r="D3031" s="348"/>
    </row>
    <row r="3032" spans="4:4" x14ac:dyDescent="0.3">
      <c r="D3032" s="348"/>
    </row>
    <row r="3033" spans="4:4" x14ac:dyDescent="0.3">
      <c r="D3033" s="348"/>
    </row>
    <row r="3034" spans="4:4" x14ac:dyDescent="0.3">
      <c r="D3034" s="348"/>
    </row>
    <row r="3035" spans="4:4" x14ac:dyDescent="0.3">
      <c r="D3035" s="348"/>
    </row>
    <row r="3036" spans="4:4" x14ac:dyDescent="0.3">
      <c r="D3036" s="348"/>
    </row>
    <row r="3037" spans="4:4" x14ac:dyDescent="0.3">
      <c r="D3037" s="348"/>
    </row>
    <row r="3038" spans="4:4" x14ac:dyDescent="0.3">
      <c r="D3038" s="348"/>
    </row>
    <row r="3039" spans="4:4" x14ac:dyDescent="0.3">
      <c r="D3039" s="348"/>
    </row>
    <row r="3040" spans="4:4" x14ac:dyDescent="0.3">
      <c r="D3040" s="348"/>
    </row>
    <row r="3041" spans="4:4" x14ac:dyDescent="0.3">
      <c r="D3041" s="348"/>
    </row>
    <row r="3042" spans="4:4" x14ac:dyDescent="0.3">
      <c r="D3042" s="348"/>
    </row>
    <row r="3043" spans="4:4" x14ac:dyDescent="0.3">
      <c r="D3043" s="348"/>
    </row>
    <row r="3044" spans="4:4" x14ac:dyDescent="0.3">
      <c r="D3044" s="348"/>
    </row>
    <row r="3045" spans="4:4" x14ac:dyDescent="0.3">
      <c r="D3045" s="348"/>
    </row>
    <row r="3046" spans="4:4" x14ac:dyDescent="0.3">
      <c r="D3046" s="348"/>
    </row>
    <row r="3047" spans="4:4" x14ac:dyDescent="0.3">
      <c r="D3047" s="348"/>
    </row>
    <row r="3048" spans="4:4" x14ac:dyDescent="0.3">
      <c r="D3048" s="348"/>
    </row>
    <row r="3049" spans="4:4" x14ac:dyDescent="0.3">
      <c r="D3049" s="348"/>
    </row>
    <row r="3050" spans="4:4" x14ac:dyDescent="0.3">
      <c r="D3050" s="348"/>
    </row>
    <row r="3051" spans="4:4" x14ac:dyDescent="0.3">
      <c r="D3051" s="348"/>
    </row>
    <row r="3052" spans="4:4" x14ac:dyDescent="0.3">
      <c r="D3052" s="348"/>
    </row>
    <row r="3053" spans="4:4" x14ac:dyDescent="0.3">
      <c r="D3053" s="348"/>
    </row>
    <row r="3054" spans="4:4" x14ac:dyDescent="0.3">
      <c r="D3054" s="348"/>
    </row>
    <row r="3055" spans="4:4" x14ac:dyDescent="0.3">
      <c r="D3055" s="348"/>
    </row>
    <row r="3056" spans="4:4" x14ac:dyDescent="0.3">
      <c r="D3056" s="348"/>
    </row>
    <row r="3057" spans="4:4" x14ac:dyDescent="0.3">
      <c r="D3057" s="348"/>
    </row>
    <row r="3058" spans="4:4" x14ac:dyDescent="0.3">
      <c r="D3058" s="348"/>
    </row>
    <row r="3059" spans="4:4" x14ac:dyDescent="0.3">
      <c r="D3059" s="348"/>
    </row>
    <row r="3060" spans="4:4" x14ac:dyDescent="0.3">
      <c r="D3060" s="348"/>
    </row>
    <row r="3061" spans="4:4" x14ac:dyDescent="0.3">
      <c r="D3061" s="348"/>
    </row>
    <row r="3062" spans="4:4" x14ac:dyDescent="0.3">
      <c r="D3062" s="348"/>
    </row>
    <row r="3063" spans="4:4" x14ac:dyDescent="0.3">
      <c r="D3063" s="348"/>
    </row>
    <row r="3064" spans="4:4" x14ac:dyDescent="0.3">
      <c r="D3064" s="348"/>
    </row>
    <row r="3065" spans="4:4" x14ac:dyDescent="0.3">
      <c r="D3065" s="348"/>
    </row>
    <row r="3066" spans="4:4" x14ac:dyDescent="0.3">
      <c r="D3066" s="348"/>
    </row>
    <row r="3067" spans="4:4" x14ac:dyDescent="0.3">
      <c r="D3067" s="348"/>
    </row>
    <row r="3068" spans="4:4" x14ac:dyDescent="0.3">
      <c r="D3068" s="348"/>
    </row>
    <row r="3069" spans="4:4" x14ac:dyDescent="0.3">
      <c r="D3069" s="348"/>
    </row>
    <row r="3070" spans="4:4" x14ac:dyDescent="0.3">
      <c r="D3070" s="348"/>
    </row>
    <row r="3071" spans="4:4" x14ac:dyDescent="0.3">
      <c r="D3071" s="348"/>
    </row>
    <row r="3072" spans="4:4" x14ac:dyDescent="0.3">
      <c r="D3072" s="348"/>
    </row>
    <row r="3073" spans="4:4" x14ac:dyDescent="0.3">
      <c r="D3073" s="348"/>
    </row>
    <row r="3074" spans="4:4" x14ac:dyDescent="0.3">
      <c r="D3074" s="348"/>
    </row>
    <row r="3075" spans="4:4" x14ac:dyDescent="0.3">
      <c r="D3075" s="348"/>
    </row>
    <row r="3076" spans="4:4" x14ac:dyDescent="0.3">
      <c r="D3076" s="348"/>
    </row>
    <row r="3077" spans="4:4" x14ac:dyDescent="0.3">
      <c r="D3077" s="348"/>
    </row>
    <row r="3078" spans="4:4" x14ac:dyDescent="0.3">
      <c r="D3078" s="348"/>
    </row>
    <row r="3079" spans="4:4" x14ac:dyDescent="0.3">
      <c r="D3079" s="348"/>
    </row>
    <row r="3080" spans="4:4" x14ac:dyDescent="0.3">
      <c r="D3080" s="348"/>
    </row>
    <row r="3081" spans="4:4" x14ac:dyDescent="0.3">
      <c r="D3081" s="348"/>
    </row>
    <row r="3082" spans="4:4" x14ac:dyDescent="0.3">
      <c r="D3082" s="348"/>
    </row>
    <row r="3083" spans="4:4" x14ac:dyDescent="0.3">
      <c r="D3083" s="348"/>
    </row>
    <row r="3084" spans="4:4" x14ac:dyDescent="0.3">
      <c r="D3084" s="348"/>
    </row>
    <row r="3085" spans="4:4" x14ac:dyDescent="0.3">
      <c r="D3085" s="348"/>
    </row>
    <row r="3086" spans="4:4" x14ac:dyDescent="0.3">
      <c r="D3086" s="348"/>
    </row>
    <row r="3087" spans="4:4" x14ac:dyDescent="0.3">
      <c r="D3087" s="348"/>
    </row>
    <row r="3088" spans="4:4" x14ac:dyDescent="0.3">
      <c r="D3088" s="348"/>
    </row>
    <row r="3089" spans="4:4" x14ac:dyDescent="0.3">
      <c r="D3089" s="348"/>
    </row>
    <row r="3090" spans="4:4" x14ac:dyDescent="0.3">
      <c r="D3090" s="348"/>
    </row>
    <row r="3091" spans="4:4" x14ac:dyDescent="0.3">
      <c r="D3091" s="348"/>
    </row>
    <row r="3092" spans="4:4" x14ac:dyDescent="0.3">
      <c r="D3092" s="348"/>
    </row>
    <row r="3093" spans="4:4" x14ac:dyDescent="0.3">
      <c r="D3093" s="348"/>
    </row>
    <row r="3094" spans="4:4" x14ac:dyDescent="0.3">
      <c r="D3094" s="348"/>
    </row>
    <row r="3095" spans="4:4" x14ac:dyDescent="0.3">
      <c r="D3095" s="348"/>
    </row>
    <row r="3096" spans="4:4" x14ac:dyDescent="0.3">
      <c r="D3096" s="348"/>
    </row>
    <row r="3097" spans="4:4" x14ac:dyDescent="0.3">
      <c r="D3097" s="348"/>
    </row>
    <row r="3098" spans="4:4" x14ac:dyDescent="0.3">
      <c r="D3098" s="348"/>
    </row>
    <row r="3099" spans="4:4" x14ac:dyDescent="0.3">
      <c r="D3099" s="348"/>
    </row>
    <row r="3100" spans="4:4" x14ac:dyDescent="0.3">
      <c r="D3100" s="348"/>
    </row>
    <row r="3101" spans="4:4" x14ac:dyDescent="0.3">
      <c r="D3101" s="348"/>
    </row>
    <row r="3102" spans="4:4" x14ac:dyDescent="0.3">
      <c r="D3102" s="348"/>
    </row>
    <row r="3103" spans="4:4" x14ac:dyDescent="0.3">
      <c r="D3103" s="348"/>
    </row>
    <row r="3104" spans="4:4" x14ac:dyDescent="0.3">
      <c r="D3104" s="348"/>
    </row>
    <row r="3105" spans="4:4" x14ac:dyDescent="0.3">
      <c r="D3105" s="348"/>
    </row>
    <row r="3106" spans="4:4" x14ac:dyDescent="0.3">
      <c r="D3106" s="348"/>
    </row>
    <row r="3107" spans="4:4" x14ac:dyDescent="0.3">
      <c r="D3107" s="348"/>
    </row>
    <row r="3108" spans="4:4" x14ac:dyDescent="0.3">
      <c r="D3108" s="348"/>
    </row>
    <row r="3109" spans="4:4" x14ac:dyDescent="0.3">
      <c r="D3109" s="348"/>
    </row>
    <row r="3110" spans="4:4" x14ac:dyDescent="0.3">
      <c r="D3110" s="348"/>
    </row>
    <row r="3111" spans="4:4" x14ac:dyDescent="0.3">
      <c r="D3111" s="348"/>
    </row>
    <row r="3112" spans="4:4" x14ac:dyDescent="0.3">
      <c r="D3112" s="348"/>
    </row>
    <row r="3113" spans="4:4" x14ac:dyDescent="0.3">
      <c r="D3113" s="348"/>
    </row>
    <row r="3114" spans="4:4" x14ac:dyDescent="0.3">
      <c r="D3114" s="348"/>
    </row>
    <row r="3115" spans="4:4" x14ac:dyDescent="0.3">
      <c r="D3115" s="348"/>
    </row>
    <row r="3116" spans="4:4" x14ac:dyDescent="0.3">
      <c r="D3116" s="348"/>
    </row>
    <row r="3117" spans="4:4" x14ac:dyDescent="0.3">
      <c r="D3117" s="348"/>
    </row>
    <row r="3118" spans="4:4" x14ac:dyDescent="0.3">
      <c r="D3118" s="348"/>
    </row>
    <row r="3119" spans="4:4" x14ac:dyDescent="0.3">
      <c r="D3119" s="348"/>
    </row>
    <row r="3120" spans="4:4" x14ac:dyDescent="0.3">
      <c r="D3120" s="348"/>
    </row>
    <row r="3121" spans="4:4" x14ac:dyDescent="0.3">
      <c r="D3121" s="348"/>
    </row>
    <row r="3122" spans="4:4" x14ac:dyDescent="0.3">
      <c r="D3122" s="348"/>
    </row>
    <row r="3123" spans="4:4" x14ac:dyDescent="0.3">
      <c r="D3123" s="348"/>
    </row>
    <row r="3124" spans="4:4" x14ac:dyDescent="0.3">
      <c r="D3124" s="348"/>
    </row>
    <row r="3125" spans="4:4" x14ac:dyDescent="0.3">
      <c r="D3125" s="348"/>
    </row>
    <row r="3126" spans="4:4" x14ac:dyDescent="0.3">
      <c r="D3126" s="348"/>
    </row>
    <row r="3127" spans="4:4" x14ac:dyDescent="0.3">
      <c r="D3127" s="348"/>
    </row>
    <row r="3128" spans="4:4" x14ac:dyDescent="0.3">
      <c r="D3128" s="348"/>
    </row>
    <row r="3129" spans="4:4" x14ac:dyDescent="0.3">
      <c r="D3129" s="348"/>
    </row>
    <row r="3130" spans="4:4" x14ac:dyDescent="0.3">
      <c r="D3130" s="348"/>
    </row>
    <row r="3131" spans="4:4" x14ac:dyDescent="0.3">
      <c r="D3131" s="348"/>
    </row>
    <row r="3132" spans="4:4" x14ac:dyDescent="0.3">
      <c r="D3132" s="348"/>
    </row>
    <row r="3133" spans="4:4" x14ac:dyDescent="0.3">
      <c r="D3133" s="348"/>
    </row>
    <row r="3134" spans="4:4" x14ac:dyDescent="0.3">
      <c r="D3134" s="348"/>
    </row>
    <row r="3135" spans="4:4" x14ac:dyDescent="0.3">
      <c r="D3135" s="348"/>
    </row>
    <row r="3136" spans="4:4" x14ac:dyDescent="0.3">
      <c r="D3136" s="348"/>
    </row>
    <row r="3137" spans="4:4" x14ac:dyDescent="0.3">
      <c r="D3137" s="348"/>
    </row>
    <row r="3138" spans="4:4" x14ac:dyDescent="0.3">
      <c r="D3138" s="348"/>
    </row>
    <row r="3139" spans="4:4" x14ac:dyDescent="0.3">
      <c r="D3139" s="348"/>
    </row>
    <row r="3140" spans="4:4" x14ac:dyDescent="0.3">
      <c r="D3140" s="348"/>
    </row>
    <row r="3141" spans="4:4" x14ac:dyDescent="0.3">
      <c r="D3141" s="348"/>
    </row>
    <row r="3142" spans="4:4" x14ac:dyDescent="0.3">
      <c r="D3142" s="348"/>
    </row>
    <row r="3143" spans="4:4" x14ac:dyDescent="0.3">
      <c r="D3143" s="348"/>
    </row>
    <row r="3144" spans="4:4" x14ac:dyDescent="0.3">
      <c r="D3144" s="348"/>
    </row>
    <row r="3145" spans="4:4" x14ac:dyDescent="0.3">
      <c r="D3145" s="348"/>
    </row>
    <row r="3146" spans="4:4" x14ac:dyDescent="0.3">
      <c r="D3146" s="348"/>
    </row>
    <row r="3147" spans="4:4" x14ac:dyDescent="0.3">
      <c r="D3147" s="348"/>
    </row>
    <row r="3148" spans="4:4" x14ac:dyDescent="0.3">
      <c r="D3148" s="348"/>
    </row>
    <row r="3149" spans="4:4" x14ac:dyDescent="0.3">
      <c r="D3149" s="348"/>
    </row>
    <row r="3150" spans="4:4" x14ac:dyDescent="0.3">
      <c r="D3150" s="348"/>
    </row>
    <row r="3151" spans="4:4" x14ac:dyDescent="0.3">
      <c r="D3151" s="348"/>
    </row>
    <row r="3152" spans="4:4" x14ac:dyDescent="0.3">
      <c r="D3152" s="348"/>
    </row>
    <row r="3153" spans="4:4" x14ac:dyDescent="0.3">
      <c r="D3153" s="348"/>
    </row>
    <row r="3154" spans="4:4" x14ac:dyDescent="0.3">
      <c r="D3154" s="348"/>
    </row>
    <row r="3155" spans="4:4" x14ac:dyDescent="0.3">
      <c r="D3155" s="348"/>
    </row>
    <row r="3156" spans="4:4" x14ac:dyDescent="0.3">
      <c r="D3156" s="348"/>
    </row>
    <row r="3157" spans="4:4" x14ac:dyDescent="0.3">
      <c r="D3157" s="348"/>
    </row>
    <row r="3158" spans="4:4" x14ac:dyDescent="0.3">
      <c r="D3158" s="348"/>
    </row>
    <row r="3159" spans="4:4" x14ac:dyDescent="0.3">
      <c r="D3159" s="348"/>
    </row>
    <row r="3160" spans="4:4" x14ac:dyDescent="0.3">
      <c r="D3160" s="348"/>
    </row>
    <row r="3161" spans="4:4" x14ac:dyDescent="0.3">
      <c r="D3161" s="348"/>
    </row>
    <row r="3162" spans="4:4" x14ac:dyDescent="0.3">
      <c r="D3162" s="348"/>
    </row>
    <row r="3163" spans="4:4" x14ac:dyDescent="0.3">
      <c r="D3163" s="348"/>
    </row>
    <row r="3164" spans="4:4" x14ac:dyDescent="0.3">
      <c r="D3164" s="348"/>
    </row>
    <row r="3165" spans="4:4" x14ac:dyDescent="0.3">
      <c r="D3165" s="348"/>
    </row>
    <row r="3166" spans="4:4" x14ac:dyDescent="0.3">
      <c r="D3166" s="348"/>
    </row>
    <row r="3167" spans="4:4" x14ac:dyDescent="0.3">
      <c r="D3167" s="348"/>
    </row>
    <row r="3168" spans="4:4" x14ac:dyDescent="0.3">
      <c r="D3168" s="348"/>
    </row>
    <row r="3169" spans="4:4" x14ac:dyDescent="0.3">
      <c r="D3169" s="348"/>
    </row>
    <row r="3170" spans="4:4" x14ac:dyDescent="0.3">
      <c r="D3170" s="348"/>
    </row>
    <row r="3171" spans="4:4" x14ac:dyDescent="0.3">
      <c r="D3171" s="348"/>
    </row>
    <row r="3172" spans="4:4" x14ac:dyDescent="0.3">
      <c r="D3172" s="348"/>
    </row>
    <row r="3173" spans="4:4" x14ac:dyDescent="0.3">
      <c r="D3173" s="348"/>
    </row>
    <row r="3174" spans="4:4" x14ac:dyDescent="0.3">
      <c r="D3174" s="348"/>
    </row>
    <row r="3175" spans="4:4" x14ac:dyDescent="0.3">
      <c r="D3175" s="348"/>
    </row>
    <row r="3176" spans="4:4" x14ac:dyDescent="0.3">
      <c r="D3176" s="348"/>
    </row>
    <row r="3177" spans="4:4" x14ac:dyDescent="0.3">
      <c r="D3177" s="348"/>
    </row>
    <row r="3178" spans="4:4" x14ac:dyDescent="0.3">
      <c r="D3178" s="348"/>
    </row>
    <row r="3179" spans="4:4" x14ac:dyDescent="0.3">
      <c r="D3179" s="348"/>
    </row>
    <row r="3180" spans="4:4" x14ac:dyDescent="0.3">
      <c r="D3180" s="348"/>
    </row>
    <row r="3181" spans="4:4" x14ac:dyDescent="0.3">
      <c r="D3181" s="348"/>
    </row>
    <row r="3182" spans="4:4" x14ac:dyDescent="0.3">
      <c r="D3182" s="348"/>
    </row>
    <row r="3183" spans="4:4" x14ac:dyDescent="0.3">
      <c r="D3183" s="348"/>
    </row>
    <row r="3184" spans="4:4" x14ac:dyDescent="0.3">
      <c r="D3184" s="348"/>
    </row>
    <row r="3185" spans="4:4" x14ac:dyDescent="0.3">
      <c r="D3185" s="348"/>
    </row>
    <row r="3186" spans="4:4" x14ac:dyDescent="0.3">
      <c r="D3186" s="348"/>
    </row>
    <row r="3187" spans="4:4" x14ac:dyDescent="0.3">
      <c r="D3187" s="348"/>
    </row>
    <row r="3188" spans="4:4" x14ac:dyDescent="0.3">
      <c r="D3188" s="348"/>
    </row>
    <row r="3189" spans="4:4" x14ac:dyDescent="0.3">
      <c r="D3189" s="348"/>
    </row>
    <row r="3190" spans="4:4" x14ac:dyDescent="0.3">
      <c r="D3190" s="348"/>
    </row>
    <row r="3191" spans="4:4" x14ac:dyDescent="0.3">
      <c r="D3191" s="348"/>
    </row>
    <row r="3192" spans="4:4" x14ac:dyDescent="0.3">
      <c r="D3192" s="348"/>
    </row>
    <row r="3193" spans="4:4" x14ac:dyDescent="0.3">
      <c r="D3193" s="348"/>
    </row>
    <row r="3194" spans="4:4" x14ac:dyDescent="0.3">
      <c r="D3194" s="348"/>
    </row>
    <row r="3195" spans="4:4" x14ac:dyDescent="0.3">
      <c r="D3195" s="348"/>
    </row>
    <row r="3196" spans="4:4" x14ac:dyDescent="0.3">
      <c r="D3196" s="348"/>
    </row>
    <row r="3197" spans="4:4" x14ac:dyDescent="0.3">
      <c r="D3197" s="348"/>
    </row>
    <row r="3198" spans="4:4" x14ac:dyDescent="0.3">
      <c r="D3198" s="348"/>
    </row>
    <row r="3199" spans="4:4" x14ac:dyDescent="0.3">
      <c r="D3199" s="348"/>
    </row>
    <row r="3200" spans="4:4" x14ac:dyDescent="0.3">
      <c r="D3200" s="348"/>
    </row>
    <row r="3201" spans="4:4" x14ac:dyDescent="0.3">
      <c r="D3201" s="348"/>
    </row>
    <row r="3202" spans="4:4" x14ac:dyDescent="0.3">
      <c r="D3202" s="348"/>
    </row>
    <row r="3203" spans="4:4" x14ac:dyDescent="0.3">
      <c r="D3203" s="348"/>
    </row>
    <row r="3204" spans="4:4" x14ac:dyDescent="0.3">
      <c r="D3204" s="348"/>
    </row>
    <row r="3205" spans="4:4" x14ac:dyDescent="0.3">
      <c r="D3205" s="348"/>
    </row>
    <row r="3206" spans="4:4" x14ac:dyDescent="0.3">
      <c r="D3206" s="348"/>
    </row>
    <row r="3207" spans="4:4" x14ac:dyDescent="0.3">
      <c r="D3207" s="348"/>
    </row>
    <row r="3208" spans="4:4" x14ac:dyDescent="0.3">
      <c r="D3208" s="348"/>
    </row>
    <row r="3209" spans="4:4" x14ac:dyDescent="0.3">
      <c r="D3209" s="348"/>
    </row>
    <row r="3210" spans="4:4" x14ac:dyDescent="0.3">
      <c r="D3210" s="348"/>
    </row>
    <row r="3211" spans="4:4" x14ac:dyDescent="0.3">
      <c r="D3211" s="348"/>
    </row>
    <row r="3212" spans="4:4" x14ac:dyDescent="0.3">
      <c r="D3212" s="348"/>
    </row>
    <row r="3213" spans="4:4" x14ac:dyDescent="0.3">
      <c r="D3213" s="348"/>
    </row>
    <row r="3214" spans="4:4" x14ac:dyDescent="0.3">
      <c r="D3214" s="348"/>
    </row>
    <row r="3215" spans="4:4" x14ac:dyDescent="0.3">
      <c r="D3215" s="348"/>
    </row>
    <row r="3216" spans="4:4" x14ac:dyDescent="0.3">
      <c r="D3216" s="348"/>
    </row>
    <row r="3217" spans="4:4" x14ac:dyDescent="0.3">
      <c r="D3217" s="348"/>
    </row>
    <row r="3218" spans="4:4" x14ac:dyDescent="0.3">
      <c r="D3218" s="348"/>
    </row>
    <row r="3219" spans="4:4" x14ac:dyDescent="0.3">
      <c r="D3219" s="348"/>
    </row>
    <row r="3220" spans="4:4" x14ac:dyDescent="0.3">
      <c r="D3220" s="348"/>
    </row>
    <row r="3221" spans="4:4" x14ac:dyDescent="0.3">
      <c r="D3221" s="348"/>
    </row>
    <row r="3222" spans="4:4" x14ac:dyDescent="0.3">
      <c r="D3222" s="348"/>
    </row>
    <row r="3223" spans="4:4" x14ac:dyDescent="0.3">
      <c r="D3223" s="348"/>
    </row>
    <row r="3224" spans="4:4" x14ac:dyDescent="0.3">
      <c r="D3224" s="348"/>
    </row>
    <row r="3225" spans="4:4" x14ac:dyDescent="0.3">
      <c r="D3225" s="348"/>
    </row>
    <row r="3226" spans="4:4" x14ac:dyDescent="0.3">
      <c r="D3226" s="348"/>
    </row>
    <row r="3227" spans="4:4" x14ac:dyDescent="0.3">
      <c r="D3227" s="348"/>
    </row>
    <row r="3228" spans="4:4" x14ac:dyDescent="0.3">
      <c r="D3228" s="348"/>
    </row>
    <row r="3229" spans="4:4" x14ac:dyDescent="0.3">
      <c r="D3229" s="348"/>
    </row>
    <row r="3230" spans="4:4" x14ac:dyDescent="0.3">
      <c r="D3230" s="348"/>
    </row>
    <row r="3231" spans="4:4" x14ac:dyDescent="0.3">
      <c r="D3231" s="348"/>
    </row>
    <row r="3232" spans="4:4" x14ac:dyDescent="0.3">
      <c r="D3232" s="348"/>
    </row>
    <row r="3233" spans="4:4" x14ac:dyDescent="0.3">
      <c r="D3233" s="348"/>
    </row>
    <row r="3234" spans="4:4" x14ac:dyDescent="0.3">
      <c r="D3234" s="348"/>
    </row>
    <row r="3235" spans="4:4" x14ac:dyDescent="0.3">
      <c r="D3235" s="348"/>
    </row>
    <row r="3236" spans="4:4" x14ac:dyDescent="0.3">
      <c r="D3236" s="348"/>
    </row>
    <row r="3237" spans="4:4" x14ac:dyDescent="0.3">
      <c r="D3237" s="348"/>
    </row>
    <row r="3238" spans="4:4" x14ac:dyDescent="0.3">
      <c r="D3238" s="348"/>
    </row>
    <row r="3239" spans="4:4" x14ac:dyDescent="0.3">
      <c r="D3239" s="348"/>
    </row>
    <row r="3240" spans="4:4" x14ac:dyDescent="0.3">
      <c r="D3240" s="348"/>
    </row>
    <row r="3241" spans="4:4" x14ac:dyDescent="0.3">
      <c r="D3241" s="348"/>
    </row>
    <row r="3242" spans="4:4" x14ac:dyDescent="0.3">
      <c r="D3242" s="348"/>
    </row>
    <row r="3243" spans="4:4" x14ac:dyDescent="0.3">
      <c r="D3243" s="348"/>
    </row>
    <row r="3244" spans="4:4" x14ac:dyDescent="0.3">
      <c r="D3244" s="348"/>
    </row>
    <row r="3245" spans="4:4" x14ac:dyDescent="0.3">
      <c r="D3245" s="348"/>
    </row>
    <row r="3246" spans="4:4" x14ac:dyDescent="0.3">
      <c r="D3246" s="348"/>
    </row>
    <row r="3247" spans="4:4" x14ac:dyDescent="0.3">
      <c r="D3247" s="348"/>
    </row>
    <row r="3248" spans="4:4" x14ac:dyDescent="0.3">
      <c r="D3248" s="348"/>
    </row>
    <row r="3249" spans="4:4" x14ac:dyDescent="0.3">
      <c r="D3249" s="348"/>
    </row>
    <row r="3250" spans="4:4" x14ac:dyDescent="0.3">
      <c r="D3250" s="348"/>
    </row>
    <row r="3251" spans="4:4" x14ac:dyDescent="0.3">
      <c r="D3251" s="348"/>
    </row>
    <row r="3252" spans="4:4" x14ac:dyDescent="0.3">
      <c r="D3252" s="348"/>
    </row>
    <row r="3253" spans="4:4" x14ac:dyDescent="0.3">
      <c r="D3253" s="348"/>
    </row>
    <row r="3254" spans="4:4" x14ac:dyDescent="0.3">
      <c r="D3254" s="348"/>
    </row>
    <row r="3255" spans="4:4" x14ac:dyDescent="0.3">
      <c r="D3255" s="348"/>
    </row>
    <row r="3256" spans="4:4" x14ac:dyDescent="0.3">
      <c r="D3256" s="348"/>
    </row>
    <row r="3257" spans="4:4" x14ac:dyDescent="0.3">
      <c r="D3257" s="348"/>
    </row>
    <row r="3258" spans="4:4" x14ac:dyDescent="0.3">
      <c r="D3258" s="348"/>
    </row>
    <row r="3259" spans="4:4" x14ac:dyDescent="0.3">
      <c r="D3259" s="348"/>
    </row>
    <row r="3260" spans="4:4" x14ac:dyDescent="0.3">
      <c r="D3260" s="348"/>
    </row>
    <row r="3261" spans="4:4" x14ac:dyDescent="0.3">
      <c r="D3261" s="348"/>
    </row>
    <row r="3262" spans="4:4" x14ac:dyDescent="0.3">
      <c r="D3262" s="348"/>
    </row>
    <row r="3263" spans="4:4" x14ac:dyDescent="0.3">
      <c r="D3263" s="348"/>
    </row>
    <row r="3264" spans="4:4" x14ac:dyDescent="0.3">
      <c r="D3264" s="348"/>
    </row>
    <row r="3265" spans="4:4" x14ac:dyDescent="0.3">
      <c r="D3265" s="348"/>
    </row>
    <row r="3266" spans="4:4" x14ac:dyDescent="0.3">
      <c r="D3266" s="348"/>
    </row>
    <row r="3267" spans="4:4" x14ac:dyDescent="0.3">
      <c r="D3267" s="348"/>
    </row>
    <row r="3268" spans="4:4" x14ac:dyDescent="0.3">
      <c r="D3268" s="348"/>
    </row>
    <row r="3269" spans="4:4" x14ac:dyDescent="0.3">
      <c r="D3269" s="348"/>
    </row>
    <row r="3270" spans="4:4" x14ac:dyDescent="0.3">
      <c r="D3270" s="348"/>
    </row>
    <row r="3271" spans="4:4" x14ac:dyDescent="0.3">
      <c r="D3271" s="348"/>
    </row>
    <row r="3272" spans="4:4" x14ac:dyDescent="0.3">
      <c r="D3272" s="348"/>
    </row>
    <row r="3273" spans="4:4" x14ac:dyDescent="0.3">
      <c r="D3273" s="348"/>
    </row>
    <row r="3274" spans="4:4" x14ac:dyDescent="0.3">
      <c r="D3274" s="348"/>
    </row>
    <row r="3275" spans="4:4" x14ac:dyDescent="0.3">
      <c r="D3275" s="348"/>
    </row>
    <row r="3276" spans="4:4" x14ac:dyDescent="0.3">
      <c r="D3276" s="348"/>
    </row>
    <row r="3277" spans="4:4" x14ac:dyDescent="0.3">
      <c r="D3277" s="348"/>
    </row>
    <row r="3278" spans="4:4" x14ac:dyDescent="0.3">
      <c r="D3278" s="348"/>
    </row>
    <row r="3279" spans="4:4" x14ac:dyDescent="0.3">
      <c r="D3279" s="348"/>
    </row>
    <row r="3280" spans="4:4" x14ac:dyDescent="0.3">
      <c r="D3280" s="348"/>
    </row>
    <row r="3281" spans="4:4" x14ac:dyDescent="0.3">
      <c r="D3281" s="348"/>
    </row>
    <row r="3282" spans="4:4" x14ac:dyDescent="0.3">
      <c r="D3282" s="348"/>
    </row>
    <row r="3283" spans="4:4" x14ac:dyDescent="0.3">
      <c r="D3283" s="348"/>
    </row>
    <row r="3284" spans="4:4" x14ac:dyDescent="0.3">
      <c r="D3284" s="348"/>
    </row>
    <row r="3285" spans="4:4" x14ac:dyDescent="0.3">
      <c r="D3285" s="348"/>
    </row>
    <row r="3286" spans="4:4" x14ac:dyDescent="0.3">
      <c r="D3286" s="348"/>
    </row>
    <row r="3287" spans="4:4" x14ac:dyDescent="0.3">
      <c r="D3287" s="348"/>
    </row>
    <row r="3288" spans="4:4" x14ac:dyDescent="0.3">
      <c r="D3288" s="348"/>
    </row>
    <row r="3289" spans="4:4" x14ac:dyDescent="0.3">
      <c r="D3289" s="348"/>
    </row>
    <row r="3290" spans="4:4" x14ac:dyDescent="0.3">
      <c r="D3290" s="348"/>
    </row>
    <row r="3291" spans="4:4" x14ac:dyDescent="0.3">
      <c r="D3291" s="348"/>
    </row>
    <row r="3292" spans="4:4" x14ac:dyDescent="0.3">
      <c r="D3292" s="348"/>
    </row>
    <row r="3293" spans="4:4" x14ac:dyDescent="0.3">
      <c r="D3293" s="348"/>
    </row>
    <row r="3294" spans="4:4" x14ac:dyDescent="0.3">
      <c r="D3294" s="348"/>
    </row>
    <row r="3295" spans="4:4" x14ac:dyDescent="0.3">
      <c r="D3295" s="348"/>
    </row>
    <row r="3296" spans="4:4" x14ac:dyDescent="0.3">
      <c r="D3296" s="348"/>
    </row>
    <row r="3297" spans="4:4" x14ac:dyDescent="0.3">
      <c r="D3297" s="348"/>
    </row>
    <row r="3298" spans="4:4" x14ac:dyDescent="0.3">
      <c r="D3298" s="348"/>
    </row>
    <row r="3299" spans="4:4" x14ac:dyDescent="0.3">
      <c r="D3299" s="348"/>
    </row>
    <row r="3300" spans="4:4" x14ac:dyDescent="0.3">
      <c r="D3300" s="348"/>
    </row>
    <row r="3301" spans="4:4" x14ac:dyDescent="0.3">
      <c r="D3301" s="348"/>
    </row>
    <row r="3302" spans="4:4" x14ac:dyDescent="0.3">
      <c r="D3302" s="348"/>
    </row>
    <row r="3303" spans="4:4" x14ac:dyDescent="0.3">
      <c r="D3303" s="348"/>
    </row>
    <row r="3304" spans="4:4" x14ac:dyDescent="0.3">
      <c r="D3304" s="348"/>
    </row>
    <row r="3305" spans="4:4" x14ac:dyDescent="0.3">
      <c r="D3305" s="348"/>
    </row>
    <row r="3306" spans="4:4" x14ac:dyDescent="0.3">
      <c r="D3306" s="348"/>
    </row>
    <row r="3307" spans="4:4" x14ac:dyDescent="0.3">
      <c r="D3307" s="348"/>
    </row>
    <row r="3308" spans="4:4" x14ac:dyDescent="0.3">
      <c r="D3308" s="348"/>
    </row>
    <row r="3309" spans="4:4" x14ac:dyDescent="0.3">
      <c r="D3309" s="348"/>
    </row>
    <row r="3310" spans="4:4" x14ac:dyDescent="0.3">
      <c r="D3310" s="348"/>
    </row>
    <row r="3311" spans="4:4" x14ac:dyDescent="0.3">
      <c r="D3311" s="348"/>
    </row>
    <row r="3312" spans="4:4" x14ac:dyDescent="0.3">
      <c r="D3312" s="348"/>
    </row>
    <row r="3313" spans="4:4" x14ac:dyDescent="0.3">
      <c r="D3313" s="348"/>
    </row>
    <row r="3314" spans="4:4" x14ac:dyDescent="0.3">
      <c r="D3314" s="348"/>
    </row>
    <row r="3315" spans="4:4" x14ac:dyDescent="0.3">
      <c r="D3315" s="348"/>
    </row>
    <row r="3316" spans="4:4" x14ac:dyDescent="0.3">
      <c r="D3316" s="348"/>
    </row>
    <row r="3317" spans="4:4" x14ac:dyDescent="0.3">
      <c r="D3317" s="348"/>
    </row>
    <row r="3318" spans="4:4" x14ac:dyDescent="0.3">
      <c r="D3318" s="348"/>
    </row>
    <row r="3319" spans="4:4" x14ac:dyDescent="0.3">
      <c r="D3319" s="348"/>
    </row>
    <row r="3320" spans="4:4" x14ac:dyDescent="0.3">
      <c r="D3320" s="348"/>
    </row>
    <row r="3321" spans="4:4" x14ac:dyDescent="0.3">
      <c r="D3321" s="348"/>
    </row>
    <row r="3322" spans="4:4" x14ac:dyDescent="0.3">
      <c r="D3322" s="348"/>
    </row>
    <row r="3323" spans="4:4" x14ac:dyDescent="0.3">
      <c r="D3323" s="348"/>
    </row>
    <row r="3324" spans="4:4" x14ac:dyDescent="0.3">
      <c r="D3324" s="348"/>
    </row>
    <row r="3325" spans="4:4" x14ac:dyDescent="0.3">
      <c r="D3325" s="348"/>
    </row>
    <row r="3326" spans="4:4" x14ac:dyDescent="0.3">
      <c r="D3326" s="348"/>
    </row>
    <row r="3327" spans="4:4" x14ac:dyDescent="0.3">
      <c r="D3327" s="348"/>
    </row>
    <row r="3328" spans="4:4" x14ac:dyDescent="0.3">
      <c r="D3328" s="348"/>
    </row>
    <row r="3329" spans="4:4" x14ac:dyDescent="0.3">
      <c r="D3329" s="348"/>
    </row>
    <row r="3330" spans="4:4" x14ac:dyDescent="0.3">
      <c r="D3330" s="348"/>
    </row>
    <row r="3331" spans="4:4" x14ac:dyDescent="0.3">
      <c r="D3331" s="348"/>
    </row>
    <row r="3332" spans="4:4" x14ac:dyDescent="0.3">
      <c r="D3332" s="348"/>
    </row>
    <row r="3333" spans="4:4" x14ac:dyDescent="0.3">
      <c r="D3333" s="348"/>
    </row>
    <row r="3334" spans="4:4" x14ac:dyDescent="0.3">
      <c r="D3334" s="348"/>
    </row>
    <row r="3335" spans="4:4" x14ac:dyDescent="0.3">
      <c r="D3335" s="348"/>
    </row>
    <row r="3336" spans="4:4" x14ac:dyDescent="0.3">
      <c r="D3336" s="348"/>
    </row>
    <row r="3337" spans="4:4" x14ac:dyDescent="0.3">
      <c r="D3337" s="348"/>
    </row>
    <row r="3338" spans="4:4" x14ac:dyDescent="0.3">
      <c r="D3338" s="348"/>
    </row>
    <row r="3339" spans="4:4" x14ac:dyDescent="0.3">
      <c r="D3339" s="348"/>
    </row>
    <row r="3340" spans="4:4" x14ac:dyDescent="0.3">
      <c r="D3340" s="348"/>
    </row>
    <row r="3341" spans="4:4" x14ac:dyDescent="0.3">
      <c r="D3341" s="348"/>
    </row>
    <row r="3342" spans="4:4" x14ac:dyDescent="0.3">
      <c r="D3342" s="348"/>
    </row>
    <row r="3343" spans="4:4" x14ac:dyDescent="0.3">
      <c r="D3343" s="348"/>
    </row>
    <row r="3344" spans="4:4" x14ac:dyDescent="0.3">
      <c r="D3344" s="348"/>
    </row>
    <row r="3345" spans="4:4" x14ac:dyDescent="0.3">
      <c r="D3345" s="348"/>
    </row>
    <row r="3346" spans="4:4" x14ac:dyDescent="0.3">
      <c r="D3346" s="348"/>
    </row>
    <row r="3347" spans="4:4" x14ac:dyDescent="0.3">
      <c r="D3347" s="348"/>
    </row>
    <row r="3348" spans="4:4" x14ac:dyDescent="0.3">
      <c r="D3348" s="348"/>
    </row>
    <row r="3349" spans="4:4" x14ac:dyDescent="0.3">
      <c r="D3349" s="348"/>
    </row>
    <row r="3350" spans="4:4" x14ac:dyDescent="0.3">
      <c r="D3350" s="348"/>
    </row>
    <row r="3351" spans="4:4" x14ac:dyDescent="0.3">
      <c r="D3351" s="348"/>
    </row>
    <row r="3352" spans="4:4" x14ac:dyDescent="0.3">
      <c r="D3352" s="348"/>
    </row>
    <row r="3353" spans="4:4" x14ac:dyDescent="0.3">
      <c r="D3353" s="348"/>
    </row>
    <row r="3354" spans="4:4" x14ac:dyDescent="0.3">
      <c r="D3354" s="348"/>
    </row>
    <row r="3355" spans="4:4" x14ac:dyDescent="0.3">
      <c r="D3355" s="348"/>
    </row>
    <row r="3356" spans="4:4" x14ac:dyDescent="0.3">
      <c r="D3356" s="348"/>
    </row>
    <row r="3357" spans="4:4" x14ac:dyDescent="0.3">
      <c r="D3357" s="348"/>
    </row>
    <row r="3358" spans="4:4" x14ac:dyDescent="0.3">
      <c r="D3358" s="348"/>
    </row>
    <row r="3359" spans="4:4" x14ac:dyDescent="0.3">
      <c r="D3359" s="348"/>
    </row>
    <row r="3360" spans="4:4" x14ac:dyDescent="0.3">
      <c r="D3360" s="348"/>
    </row>
    <row r="3361" spans="4:4" x14ac:dyDescent="0.3">
      <c r="D3361" s="348"/>
    </row>
    <row r="3362" spans="4:4" x14ac:dyDescent="0.3">
      <c r="D3362" s="348"/>
    </row>
    <row r="3363" spans="4:4" x14ac:dyDescent="0.3">
      <c r="D3363" s="348"/>
    </row>
    <row r="3364" spans="4:4" x14ac:dyDescent="0.3">
      <c r="D3364" s="348"/>
    </row>
    <row r="3365" spans="4:4" x14ac:dyDescent="0.3">
      <c r="D3365" s="348"/>
    </row>
    <row r="3366" spans="4:4" x14ac:dyDescent="0.3">
      <c r="D3366" s="348"/>
    </row>
    <row r="3367" spans="4:4" x14ac:dyDescent="0.3">
      <c r="D3367" s="348"/>
    </row>
    <row r="3368" spans="4:4" x14ac:dyDescent="0.3">
      <c r="D3368" s="348"/>
    </row>
    <row r="3369" spans="4:4" x14ac:dyDescent="0.3">
      <c r="D3369" s="348"/>
    </row>
    <row r="3370" spans="4:4" x14ac:dyDescent="0.3">
      <c r="D3370" s="348"/>
    </row>
    <row r="3371" spans="4:4" x14ac:dyDescent="0.3">
      <c r="D3371" s="348"/>
    </row>
    <row r="3372" spans="4:4" x14ac:dyDescent="0.3">
      <c r="D3372" s="348"/>
    </row>
    <row r="3373" spans="4:4" x14ac:dyDescent="0.3">
      <c r="D3373" s="348"/>
    </row>
    <row r="3374" spans="4:4" x14ac:dyDescent="0.3">
      <c r="D3374" s="348"/>
    </row>
    <row r="3375" spans="4:4" x14ac:dyDescent="0.3">
      <c r="D3375" s="348"/>
    </row>
    <row r="3376" spans="4:4" x14ac:dyDescent="0.3">
      <c r="D3376" s="348"/>
    </row>
    <row r="3377" spans="4:4" x14ac:dyDescent="0.3">
      <c r="D3377" s="348"/>
    </row>
    <row r="3378" spans="4:4" x14ac:dyDescent="0.3">
      <c r="D3378" s="348"/>
    </row>
    <row r="3379" spans="4:4" x14ac:dyDescent="0.3">
      <c r="D3379" s="348"/>
    </row>
    <row r="3380" spans="4:4" x14ac:dyDescent="0.3">
      <c r="D3380" s="348"/>
    </row>
    <row r="3381" spans="4:4" x14ac:dyDescent="0.3">
      <c r="D3381" s="348"/>
    </row>
    <row r="3382" spans="4:4" x14ac:dyDescent="0.3">
      <c r="D3382" s="348"/>
    </row>
    <row r="3383" spans="4:4" x14ac:dyDescent="0.3">
      <c r="D3383" s="348"/>
    </row>
    <row r="3384" spans="4:4" x14ac:dyDescent="0.3">
      <c r="D3384" s="348"/>
    </row>
    <row r="3385" spans="4:4" x14ac:dyDescent="0.3">
      <c r="D3385" s="348"/>
    </row>
    <row r="3386" spans="4:4" x14ac:dyDescent="0.3">
      <c r="D3386" s="348"/>
    </row>
    <row r="3387" spans="4:4" x14ac:dyDescent="0.3">
      <c r="D3387" s="348"/>
    </row>
    <row r="3388" spans="4:4" x14ac:dyDescent="0.3">
      <c r="D3388" s="348"/>
    </row>
    <row r="3389" spans="4:4" x14ac:dyDescent="0.3">
      <c r="D3389" s="348"/>
    </row>
    <row r="3390" spans="4:4" x14ac:dyDescent="0.3">
      <c r="D3390" s="348"/>
    </row>
    <row r="3391" spans="4:4" x14ac:dyDescent="0.3">
      <c r="D3391" s="348"/>
    </row>
    <row r="3392" spans="4:4" x14ac:dyDescent="0.3">
      <c r="D3392" s="348"/>
    </row>
    <row r="3393" spans="4:4" x14ac:dyDescent="0.3">
      <c r="D3393" s="348"/>
    </row>
    <row r="3394" spans="4:4" x14ac:dyDescent="0.3">
      <c r="D3394" s="348"/>
    </row>
    <row r="3395" spans="4:4" x14ac:dyDescent="0.3">
      <c r="D3395" s="348"/>
    </row>
    <row r="3396" spans="4:4" x14ac:dyDescent="0.3">
      <c r="D3396" s="348"/>
    </row>
    <row r="3397" spans="4:4" x14ac:dyDescent="0.3">
      <c r="D3397" s="348"/>
    </row>
    <row r="3398" spans="4:4" x14ac:dyDescent="0.3">
      <c r="D3398" s="348"/>
    </row>
    <row r="3399" spans="4:4" x14ac:dyDescent="0.3">
      <c r="D3399" s="348"/>
    </row>
    <row r="3400" spans="4:4" x14ac:dyDescent="0.3">
      <c r="D3400" s="348"/>
    </row>
    <row r="3401" spans="4:4" x14ac:dyDescent="0.3">
      <c r="D3401" s="348"/>
    </row>
    <row r="3402" spans="4:4" x14ac:dyDescent="0.3">
      <c r="D3402" s="348"/>
    </row>
    <row r="3403" spans="4:4" x14ac:dyDescent="0.3">
      <c r="D3403" s="348"/>
    </row>
    <row r="3404" spans="4:4" x14ac:dyDescent="0.3">
      <c r="D3404" s="348"/>
    </row>
    <row r="3405" spans="4:4" x14ac:dyDescent="0.3">
      <c r="D3405" s="348"/>
    </row>
    <row r="3406" spans="4:4" x14ac:dyDescent="0.3">
      <c r="D3406" s="348"/>
    </row>
    <row r="3407" spans="4:4" x14ac:dyDescent="0.3">
      <c r="D3407" s="348"/>
    </row>
    <row r="3408" spans="4:4" x14ac:dyDescent="0.3">
      <c r="D3408" s="348"/>
    </row>
    <row r="3409" spans="4:4" x14ac:dyDescent="0.3">
      <c r="D3409" s="348"/>
    </row>
    <row r="3410" spans="4:4" x14ac:dyDescent="0.3">
      <c r="D3410" s="348"/>
    </row>
    <row r="3411" spans="4:4" x14ac:dyDescent="0.3">
      <c r="D3411" s="348"/>
    </row>
    <row r="3412" spans="4:4" x14ac:dyDescent="0.3">
      <c r="D3412" s="348"/>
    </row>
    <row r="3413" spans="4:4" x14ac:dyDescent="0.3">
      <c r="D3413" s="348"/>
    </row>
    <row r="3414" spans="4:4" x14ac:dyDescent="0.3">
      <c r="D3414" s="348"/>
    </row>
    <row r="3415" spans="4:4" x14ac:dyDescent="0.3">
      <c r="D3415" s="348"/>
    </row>
    <row r="3416" spans="4:4" x14ac:dyDescent="0.3">
      <c r="D3416" s="348"/>
    </row>
    <row r="3417" spans="4:4" x14ac:dyDescent="0.3">
      <c r="D3417" s="348"/>
    </row>
    <row r="3418" spans="4:4" x14ac:dyDescent="0.3">
      <c r="D3418" s="348"/>
    </row>
    <row r="3419" spans="4:4" x14ac:dyDescent="0.3">
      <c r="D3419" s="348"/>
    </row>
    <row r="3420" spans="4:4" x14ac:dyDescent="0.3">
      <c r="D3420" s="348"/>
    </row>
    <row r="3421" spans="4:4" x14ac:dyDescent="0.3">
      <c r="D3421" s="348"/>
    </row>
    <row r="3422" spans="4:4" x14ac:dyDescent="0.3">
      <c r="D3422" s="348"/>
    </row>
    <row r="3423" spans="4:4" x14ac:dyDescent="0.3">
      <c r="D3423" s="348"/>
    </row>
    <row r="3424" spans="4:4" x14ac:dyDescent="0.3">
      <c r="D3424" s="348"/>
    </row>
    <row r="3425" spans="4:4" x14ac:dyDescent="0.3">
      <c r="D3425" s="348"/>
    </row>
    <row r="3426" spans="4:4" x14ac:dyDescent="0.3">
      <c r="D3426" s="348"/>
    </row>
    <row r="3427" spans="4:4" x14ac:dyDescent="0.3">
      <c r="D3427" s="348"/>
    </row>
    <row r="3428" spans="4:4" x14ac:dyDescent="0.3">
      <c r="D3428" s="348"/>
    </row>
    <row r="3429" spans="4:4" x14ac:dyDescent="0.3">
      <c r="D3429" s="348"/>
    </row>
    <row r="3430" spans="4:4" x14ac:dyDescent="0.3">
      <c r="D3430" s="348"/>
    </row>
    <row r="3431" spans="4:4" x14ac:dyDescent="0.3">
      <c r="D3431" s="348"/>
    </row>
    <row r="3432" spans="4:4" x14ac:dyDescent="0.3">
      <c r="D3432" s="348"/>
    </row>
    <row r="3433" spans="4:4" x14ac:dyDescent="0.3">
      <c r="D3433" s="348"/>
    </row>
    <row r="3434" spans="4:4" x14ac:dyDescent="0.3">
      <c r="D3434" s="348"/>
    </row>
    <row r="3435" spans="4:4" x14ac:dyDescent="0.3">
      <c r="D3435" s="348"/>
    </row>
    <row r="3436" spans="4:4" x14ac:dyDescent="0.3">
      <c r="D3436" s="348"/>
    </row>
    <row r="3437" spans="4:4" x14ac:dyDescent="0.3">
      <c r="D3437" s="348"/>
    </row>
    <row r="3438" spans="4:4" x14ac:dyDescent="0.3">
      <c r="D3438" s="348"/>
    </row>
    <row r="3439" spans="4:4" x14ac:dyDescent="0.3">
      <c r="D3439" s="348"/>
    </row>
    <row r="3440" spans="4:4" x14ac:dyDescent="0.3">
      <c r="D3440" s="348"/>
    </row>
    <row r="3441" spans="4:4" x14ac:dyDescent="0.3">
      <c r="D3441" s="348"/>
    </row>
    <row r="3442" spans="4:4" x14ac:dyDescent="0.3">
      <c r="D3442" s="348"/>
    </row>
    <row r="3443" spans="4:4" x14ac:dyDescent="0.3">
      <c r="D3443" s="348"/>
    </row>
    <row r="3444" spans="4:4" x14ac:dyDescent="0.3">
      <c r="D3444" s="348"/>
    </row>
    <row r="3445" spans="4:4" x14ac:dyDescent="0.3">
      <c r="D3445" s="348"/>
    </row>
    <row r="3446" spans="4:4" x14ac:dyDescent="0.3">
      <c r="D3446" s="348"/>
    </row>
    <row r="3447" spans="4:4" x14ac:dyDescent="0.3">
      <c r="D3447" s="348"/>
    </row>
    <row r="3448" spans="4:4" x14ac:dyDescent="0.3">
      <c r="D3448" s="348"/>
    </row>
    <row r="3449" spans="4:4" x14ac:dyDescent="0.3">
      <c r="D3449" s="348"/>
    </row>
    <row r="3450" spans="4:4" x14ac:dyDescent="0.3">
      <c r="D3450" s="348"/>
    </row>
    <row r="3451" spans="4:4" x14ac:dyDescent="0.3">
      <c r="D3451" s="348"/>
    </row>
    <row r="3452" spans="4:4" x14ac:dyDescent="0.3">
      <c r="D3452" s="348"/>
    </row>
    <row r="3453" spans="4:4" x14ac:dyDescent="0.3">
      <c r="D3453" s="348"/>
    </row>
    <row r="3454" spans="4:4" x14ac:dyDescent="0.3">
      <c r="D3454" s="348"/>
    </row>
    <row r="3455" spans="4:4" x14ac:dyDescent="0.3">
      <c r="D3455" s="348"/>
    </row>
    <row r="3456" spans="4:4" x14ac:dyDescent="0.3">
      <c r="D3456" s="348"/>
    </row>
    <row r="3457" spans="4:4" x14ac:dyDescent="0.3">
      <c r="D3457" s="348"/>
    </row>
    <row r="3458" spans="4:4" x14ac:dyDescent="0.3">
      <c r="D3458" s="348"/>
    </row>
    <row r="3459" spans="4:4" x14ac:dyDescent="0.3">
      <c r="D3459" s="348"/>
    </row>
    <row r="3460" spans="4:4" x14ac:dyDescent="0.3">
      <c r="D3460" s="348"/>
    </row>
    <row r="3461" spans="4:4" x14ac:dyDescent="0.3">
      <c r="D3461" s="348"/>
    </row>
    <row r="3462" spans="4:4" x14ac:dyDescent="0.3">
      <c r="D3462" s="348"/>
    </row>
    <row r="3463" spans="4:4" x14ac:dyDescent="0.3">
      <c r="D3463" s="348"/>
    </row>
    <row r="3464" spans="4:4" x14ac:dyDescent="0.3">
      <c r="D3464" s="348"/>
    </row>
    <row r="3465" spans="4:4" x14ac:dyDescent="0.3">
      <c r="D3465" s="348"/>
    </row>
    <row r="3466" spans="4:4" x14ac:dyDescent="0.3">
      <c r="D3466" s="348"/>
    </row>
    <row r="3467" spans="4:4" x14ac:dyDescent="0.3">
      <c r="D3467" s="348"/>
    </row>
    <row r="3468" spans="4:4" x14ac:dyDescent="0.3">
      <c r="D3468" s="348"/>
    </row>
    <row r="3469" spans="4:4" x14ac:dyDescent="0.3">
      <c r="D3469" s="348"/>
    </row>
    <row r="3470" spans="4:4" x14ac:dyDescent="0.3">
      <c r="D3470" s="348"/>
    </row>
    <row r="3471" spans="4:4" x14ac:dyDescent="0.3">
      <c r="D3471" s="348"/>
    </row>
    <row r="3472" spans="4:4" x14ac:dyDescent="0.3">
      <c r="D3472" s="348"/>
    </row>
    <row r="3473" spans="4:4" x14ac:dyDescent="0.3">
      <c r="D3473" s="348"/>
    </row>
    <row r="3474" spans="4:4" x14ac:dyDescent="0.3">
      <c r="D3474" s="348"/>
    </row>
    <row r="3475" spans="4:4" x14ac:dyDescent="0.3">
      <c r="D3475" s="348"/>
    </row>
    <row r="3476" spans="4:4" x14ac:dyDescent="0.3">
      <c r="D3476" s="348"/>
    </row>
    <row r="3477" spans="4:4" x14ac:dyDescent="0.3">
      <c r="D3477" s="348"/>
    </row>
    <row r="3478" spans="4:4" x14ac:dyDescent="0.3">
      <c r="D3478" s="348"/>
    </row>
    <row r="3479" spans="4:4" x14ac:dyDescent="0.3">
      <c r="D3479" s="348"/>
    </row>
    <row r="3480" spans="4:4" x14ac:dyDescent="0.3">
      <c r="D3480" s="348"/>
    </row>
    <row r="3481" spans="4:4" x14ac:dyDescent="0.3">
      <c r="D3481" s="348"/>
    </row>
    <row r="3482" spans="4:4" x14ac:dyDescent="0.3">
      <c r="D3482" s="348"/>
    </row>
    <row r="3483" spans="4:4" x14ac:dyDescent="0.3">
      <c r="D3483" s="348"/>
    </row>
    <row r="3484" spans="4:4" x14ac:dyDescent="0.3">
      <c r="D3484" s="348"/>
    </row>
    <row r="3485" spans="4:4" x14ac:dyDescent="0.3">
      <c r="D3485" s="348"/>
    </row>
    <row r="3486" spans="4:4" x14ac:dyDescent="0.3">
      <c r="D3486" s="348"/>
    </row>
    <row r="3487" spans="4:4" x14ac:dyDescent="0.3">
      <c r="D3487" s="348"/>
    </row>
    <row r="3488" spans="4:4" x14ac:dyDescent="0.3">
      <c r="D3488" s="348"/>
    </row>
    <row r="3489" spans="4:4" x14ac:dyDescent="0.3">
      <c r="D3489" s="348"/>
    </row>
    <row r="3490" spans="4:4" x14ac:dyDescent="0.3">
      <c r="D3490" s="348"/>
    </row>
    <row r="3491" spans="4:4" x14ac:dyDescent="0.3">
      <c r="D3491" s="348"/>
    </row>
    <row r="3492" spans="4:4" x14ac:dyDescent="0.3">
      <c r="D3492" s="348"/>
    </row>
    <row r="3493" spans="4:4" x14ac:dyDescent="0.3">
      <c r="D3493" s="348"/>
    </row>
    <row r="3494" spans="4:4" x14ac:dyDescent="0.3">
      <c r="D3494" s="348"/>
    </row>
    <row r="3495" spans="4:4" x14ac:dyDescent="0.3">
      <c r="D3495" s="348"/>
    </row>
    <row r="3496" spans="4:4" x14ac:dyDescent="0.3">
      <c r="D3496" s="348"/>
    </row>
    <row r="3497" spans="4:4" x14ac:dyDescent="0.3">
      <c r="D3497" s="348"/>
    </row>
    <row r="3498" spans="4:4" x14ac:dyDescent="0.3">
      <c r="D3498" s="348"/>
    </row>
    <row r="3499" spans="4:4" x14ac:dyDescent="0.3">
      <c r="D3499" s="348"/>
    </row>
    <row r="3500" spans="4:4" x14ac:dyDescent="0.3">
      <c r="D3500" s="348"/>
    </row>
    <row r="3501" spans="4:4" x14ac:dyDescent="0.3">
      <c r="D3501" s="348"/>
    </row>
    <row r="3502" spans="4:4" x14ac:dyDescent="0.3">
      <c r="D3502" s="348"/>
    </row>
    <row r="3503" spans="4:4" x14ac:dyDescent="0.3">
      <c r="D3503" s="348"/>
    </row>
    <row r="3504" spans="4:4" x14ac:dyDescent="0.3">
      <c r="D3504" s="348"/>
    </row>
    <row r="3505" spans="4:4" x14ac:dyDescent="0.3">
      <c r="D3505" s="348"/>
    </row>
    <row r="3506" spans="4:4" x14ac:dyDescent="0.3">
      <c r="D3506" s="348"/>
    </row>
    <row r="3507" spans="4:4" x14ac:dyDescent="0.3">
      <c r="D3507" s="348"/>
    </row>
    <row r="3508" spans="4:4" x14ac:dyDescent="0.3">
      <c r="D3508" s="348"/>
    </row>
    <row r="3509" spans="4:4" x14ac:dyDescent="0.3">
      <c r="D3509" s="348"/>
    </row>
    <row r="3510" spans="4:4" x14ac:dyDescent="0.3">
      <c r="D3510" s="348"/>
    </row>
    <row r="3511" spans="4:4" x14ac:dyDescent="0.3">
      <c r="D3511" s="348"/>
    </row>
    <row r="3512" spans="4:4" x14ac:dyDescent="0.3">
      <c r="D3512" s="348"/>
    </row>
    <row r="3513" spans="4:4" x14ac:dyDescent="0.3">
      <c r="D3513" s="348"/>
    </row>
    <row r="3514" spans="4:4" x14ac:dyDescent="0.3">
      <c r="D3514" s="348"/>
    </row>
    <row r="3515" spans="4:4" x14ac:dyDescent="0.3">
      <c r="D3515" s="348"/>
    </row>
    <row r="3516" spans="4:4" x14ac:dyDescent="0.3">
      <c r="D3516" s="348"/>
    </row>
    <row r="3517" spans="4:4" x14ac:dyDescent="0.3">
      <c r="D3517" s="348"/>
    </row>
    <row r="3518" spans="4:4" x14ac:dyDescent="0.3">
      <c r="D3518" s="348"/>
    </row>
    <row r="3519" spans="4:4" x14ac:dyDescent="0.3">
      <c r="D3519" s="348"/>
    </row>
    <row r="3520" spans="4:4" x14ac:dyDescent="0.3">
      <c r="D3520" s="348"/>
    </row>
    <row r="3521" spans="4:4" x14ac:dyDescent="0.3">
      <c r="D3521" s="348"/>
    </row>
    <row r="3522" spans="4:4" x14ac:dyDescent="0.3">
      <c r="D3522" s="348"/>
    </row>
    <row r="3523" spans="4:4" x14ac:dyDescent="0.3">
      <c r="D3523" s="348"/>
    </row>
    <row r="3524" spans="4:4" x14ac:dyDescent="0.3">
      <c r="D3524" s="348"/>
    </row>
    <row r="3525" spans="4:4" x14ac:dyDescent="0.3">
      <c r="D3525" s="348"/>
    </row>
    <row r="3526" spans="4:4" x14ac:dyDescent="0.3">
      <c r="D3526" s="348"/>
    </row>
    <row r="3527" spans="4:4" x14ac:dyDescent="0.3">
      <c r="D3527" s="348"/>
    </row>
    <row r="3528" spans="4:4" x14ac:dyDescent="0.3">
      <c r="D3528" s="348"/>
    </row>
    <row r="3529" spans="4:4" x14ac:dyDescent="0.3">
      <c r="D3529" s="348"/>
    </row>
    <row r="3530" spans="4:4" x14ac:dyDescent="0.3">
      <c r="D3530" s="348"/>
    </row>
    <row r="3531" spans="4:4" x14ac:dyDescent="0.3">
      <c r="D3531" s="348"/>
    </row>
    <row r="3532" spans="4:4" x14ac:dyDescent="0.3">
      <c r="D3532" s="348"/>
    </row>
    <row r="3533" spans="4:4" x14ac:dyDescent="0.3">
      <c r="D3533" s="348"/>
    </row>
    <row r="3534" spans="4:4" x14ac:dyDescent="0.3">
      <c r="D3534" s="348"/>
    </row>
    <row r="3535" spans="4:4" x14ac:dyDescent="0.3">
      <c r="D3535" s="348"/>
    </row>
    <row r="3536" spans="4:4" x14ac:dyDescent="0.3">
      <c r="D3536" s="348"/>
    </row>
    <row r="3537" spans="4:4" x14ac:dyDescent="0.3">
      <c r="D3537" s="348"/>
    </row>
    <row r="3538" spans="4:4" x14ac:dyDescent="0.3">
      <c r="D3538" s="348"/>
    </row>
    <row r="3539" spans="4:4" x14ac:dyDescent="0.3">
      <c r="D3539" s="348"/>
    </row>
    <row r="3540" spans="4:4" x14ac:dyDescent="0.3">
      <c r="D3540" s="348"/>
    </row>
    <row r="3541" spans="4:4" x14ac:dyDescent="0.3">
      <c r="D3541" s="348"/>
    </row>
    <row r="3542" spans="4:4" x14ac:dyDescent="0.3">
      <c r="D3542" s="348"/>
    </row>
    <row r="3543" spans="4:4" x14ac:dyDescent="0.3">
      <c r="D3543" s="348"/>
    </row>
    <row r="3544" spans="4:4" x14ac:dyDescent="0.3">
      <c r="D3544" s="348"/>
    </row>
    <row r="3545" spans="4:4" x14ac:dyDescent="0.3">
      <c r="D3545" s="348"/>
    </row>
    <row r="3546" spans="4:4" x14ac:dyDescent="0.3">
      <c r="D3546" s="348"/>
    </row>
    <row r="3547" spans="4:4" x14ac:dyDescent="0.3">
      <c r="D3547" s="348"/>
    </row>
    <row r="3548" spans="4:4" x14ac:dyDescent="0.3">
      <c r="D3548" s="348"/>
    </row>
    <row r="3549" spans="4:4" x14ac:dyDescent="0.3">
      <c r="D3549" s="348"/>
    </row>
    <row r="3550" spans="4:4" x14ac:dyDescent="0.3">
      <c r="D3550" s="348"/>
    </row>
    <row r="3551" spans="4:4" x14ac:dyDescent="0.3">
      <c r="D3551" s="348"/>
    </row>
    <row r="3552" spans="4:4" x14ac:dyDescent="0.3">
      <c r="D3552" s="348"/>
    </row>
    <row r="3553" spans="4:4" x14ac:dyDescent="0.3">
      <c r="D3553" s="348"/>
    </row>
    <row r="3554" spans="4:4" x14ac:dyDescent="0.3">
      <c r="D3554" s="348"/>
    </row>
    <row r="3555" spans="4:4" x14ac:dyDescent="0.3">
      <c r="D3555" s="348"/>
    </row>
    <row r="3556" spans="4:4" x14ac:dyDescent="0.3">
      <c r="D3556" s="348"/>
    </row>
    <row r="3557" spans="4:4" x14ac:dyDescent="0.3">
      <c r="D3557" s="348"/>
    </row>
    <row r="3558" spans="4:4" x14ac:dyDescent="0.3">
      <c r="D3558" s="348"/>
    </row>
    <row r="3559" spans="4:4" x14ac:dyDescent="0.3">
      <c r="D3559" s="348"/>
    </row>
    <row r="3560" spans="4:4" x14ac:dyDescent="0.3">
      <c r="D3560" s="348"/>
    </row>
    <row r="3561" spans="4:4" x14ac:dyDescent="0.3">
      <c r="D3561" s="348"/>
    </row>
    <row r="3562" spans="4:4" x14ac:dyDescent="0.3">
      <c r="D3562" s="348"/>
    </row>
    <row r="3563" spans="4:4" x14ac:dyDescent="0.3">
      <c r="D3563" s="348"/>
    </row>
    <row r="3564" spans="4:4" x14ac:dyDescent="0.3">
      <c r="D3564" s="348"/>
    </row>
    <row r="3565" spans="4:4" x14ac:dyDescent="0.3">
      <c r="D3565" s="348"/>
    </row>
    <row r="3566" spans="4:4" x14ac:dyDescent="0.3">
      <c r="D3566" s="348"/>
    </row>
    <row r="3567" spans="4:4" x14ac:dyDescent="0.3">
      <c r="D3567" s="348"/>
    </row>
    <row r="3568" spans="4:4" x14ac:dyDescent="0.3">
      <c r="D3568" s="348"/>
    </row>
    <row r="3569" spans="4:4" x14ac:dyDescent="0.3">
      <c r="D3569" s="348"/>
    </row>
    <row r="3570" spans="4:4" x14ac:dyDescent="0.3">
      <c r="D3570" s="348"/>
    </row>
    <row r="3571" spans="4:4" x14ac:dyDescent="0.3">
      <c r="D3571" s="348"/>
    </row>
    <row r="3572" spans="4:4" x14ac:dyDescent="0.3">
      <c r="D3572" s="348"/>
    </row>
    <row r="3573" spans="4:4" x14ac:dyDescent="0.3">
      <c r="D3573" s="348"/>
    </row>
    <row r="3574" spans="4:4" x14ac:dyDescent="0.3">
      <c r="D3574" s="348"/>
    </row>
    <row r="3575" spans="4:4" x14ac:dyDescent="0.3">
      <c r="D3575" s="348"/>
    </row>
    <row r="3576" spans="4:4" x14ac:dyDescent="0.3">
      <c r="D3576" s="348"/>
    </row>
    <row r="3577" spans="4:4" x14ac:dyDescent="0.3">
      <c r="D3577" s="348"/>
    </row>
    <row r="3578" spans="4:4" x14ac:dyDescent="0.3">
      <c r="D3578" s="348"/>
    </row>
    <row r="3579" spans="4:4" x14ac:dyDescent="0.3">
      <c r="D3579" s="348"/>
    </row>
    <row r="3580" spans="4:4" x14ac:dyDescent="0.3">
      <c r="D3580" s="348"/>
    </row>
    <row r="3581" spans="4:4" x14ac:dyDescent="0.3">
      <c r="D3581" s="348"/>
    </row>
    <row r="3582" spans="4:4" x14ac:dyDescent="0.3">
      <c r="D3582" s="348"/>
    </row>
    <row r="3583" spans="4:4" x14ac:dyDescent="0.3">
      <c r="D3583" s="348"/>
    </row>
    <row r="3584" spans="4:4" x14ac:dyDescent="0.3">
      <c r="D3584" s="348"/>
    </row>
    <row r="3585" spans="4:4" x14ac:dyDescent="0.3">
      <c r="D3585" s="348"/>
    </row>
    <row r="3586" spans="4:4" x14ac:dyDescent="0.3">
      <c r="D3586" s="348"/>
    </row>
    <row r="3587" spans="4:4" x14ac:dyDescent="0.3">
      <c r="D3587" s="348"/>
    </row>
    <row r="3588" spans="4:4" x14ac:dyDescent="0.3">
      <c r="D3588" s="348"/>
    </row>
    <row r="3589" spans="4:4" x14ac:dyDescent="0.3">
      <c r="D3589" s="348"/>
    </row>
    <row r="3590" spans="4:4" x14ac:dyDescent="0.3">
      <c r="D3590" s="348"/>
    </row>
    <row r="3591" spans="4:4" x14ac:dyDescent="0.3">
      <c r="D3591" s="348"/>
    </row>
    <row r="3592" spans="4:4" x14ac:dyDescent="0.3">
      <c r="D3592" s="348"/>
    </row>
    <row r="3593" spans="4:4" x14ac:dyDescent="0.3">
      <c r="D3593" s="348"/>
    </row>
    <row r="3594" spans="4:4" x14ac:dyDescent="0.3">
      <c r="D3594" s="348"/>
    </row>
    <row r="3595" spans="4:4" x14ac:dyDescent="0.3">
      <c r="D3595" s="348"/>
    </row>
    <row r="3596" spans="4:4" x14ac:dyDescent="0.3">
      <c r="D3596" s="348"/>
    </row>
    <row r="3597" spans="4:4" x14ac:dyDescent="0.3">
      <c r="D3597" s="348"/>
    </row>
    <row r="3598" spans="4:4" x14ac:dyDescent="0.3">
      <c r="D3598" s="348"/>
    </row>
    <row r="3599" spans="4:4" x14ac:dyDescent="0.3">
      <c r="D3599" s="348"/>
    </row>
    <row r="3600" spans="4:4" x14ac:dyDescent="0.3">
      <c r="D3600" s="348"/>
    </row>
    <row r="3601" spans="4:4" x14ac:dyDescent="0.3">
      <c r="D3601" s="348"/>
    </row>
    <row r="3602" spans="4:4" x14ac:dyDescent="0.3">
      <c r="D3602" s="348"/>
    </row>
    <row r="3603" spans="4:4" x14ac:dyDescent="0.3">
      <c r="D3603" s="348"/>
    </row>
    <row r="3604" spans="4:4" x14ac:dyDescent="0.3">
      <c r="D3604" s="348"/>
    </row>
    <row r="3605" spans="4:4" x14ac:dyDescent="0.3">
      <c r="D3605" s="348"/>
    </row>
    <row r="3606" spans="4:4" x14ac:dyDescent="0.3">
      <c r="D3606" s="348"/>
    </row>
    <row r="3607" spans="4:4" x14ac:dyDescent="0.3">
      <c r="D3607" s="348"/>
    </row>
    <row r="3608" spans="4:4" x14ac:dyDescent="0.3">
      <c r="D3608" s="348"/>
    </row>
    <row r="3609" spans="4:4" x14ac:dyDescent="0.3">
      <c r="D3609" s="348"/>
    </row>
    <row r="3610" spans="4:4" x14ac:dyDescent="0.3">
      <c r="D3610" s="348"/>
    </row>
    <row r="3611" spans="4:4" x14ac:dyDescent="0.3">
      <c r="D3611" s="348"/>
    </row>
    <row r="3612" spans="4:4" x14ac:dyDescent="0.3">
      <c r="D3612" s="348"/>
    </row>
    <row r="3613" spans="4:4" x14ac:dyDescent="0.3">
      <c r="D3613" s="348"/>
    </row>
    <row r="3614" spans="4:4" x14ac:dyDescent="0.3">
      <c r="D3614" s="348"/>
    </row>
    <row r="3615" spans="4:4" x14ac:dyDescent="0.3">
      <c r="D3615" s="348"/>
    </row>
    <row r="3616" spans="4:4" x14ac:dyDescent="0.3">
      <c r="D3616" s="348"/>
    </row>
    <row r="3617" spans="4:4" x14ac:dyDescent="0.3">
      <c r="D3617" s="348"/>
    </row>
    <row r="3618" spans="4:4" x14ac:dyDescent="0.3">
      <c r="D3618" s="348"/>
    </row>
    <row r="3619" spans="4:4" x14ac:dyDescent="0.3">
      <c r="D3619" s="348"/>
    </row>
    <row r="3620" spans="4:4" x14ac:dyDescent="0.3">
      <c r="D3620" s="348"/>
    </row>
    <row r="3621" spans="4:4" x14ac:dyDescent="0.3">
      <c r="D3621" s="348"/>
    </row>
    <row r="3622" spans="4:4" x14ac:dyDescent="0.3">
      <c r="D3622" s="348"/>
    </row>
    <row r="3623" spans="4:4" x14ac:dyDescent="0.3">
      <c r="D3623" s="348"/>
    </row>
    <row r="3624" spans="4:4" x14ac:dyDescent="0.3">
      <c r="D3624" s="348"/>
    </row>
    <row r="3625" spans="4:4" x14ac:dyDescent="0.3">
      <c r="D3625" s="348"/>
    </row>
    <row r="3626" spans="4:4" x14ac:dyDescent="0.3">
      <c r="D3626" s="348"/>
    </row>
    <row r="3627" spans="4:4" x14ac:dyDescent="0.3">
      <c r="D3627" s="348"/>
    </row>
    <row r="3628" spans="4:4" x14ac:dyDescent="0.3">
      <c r="D3628" s="348"/>
    </row>
    <row r="3629" spans="4:4" x14ac:dyDescent="0.3">
      <c r="D3629" s="348"/>
    </row>
    <row r="3630" spans="4:4" x14ac:dyDescent="0.3">
      <c r="D3630" s="348"/>
    </row>
    <row r="3631" spans="4:4" x14ac:dyDescent="0.3">
      <c r="D3631" s="348"/>
    </row>
    <row r="3632" spans="4:4" x14ac:dyDescent="0.3">
      <c r="D3632" s="348"/>
    </row>
    <row r="3633" spans="4:4" x14ac:dyDescent="0.3">
      <c r="D3633" s="348"/>
    </row>
    <row r="3634" spans="4:4" x14ac:dyDescent="0.3">
      <c r="D3634" s="348"/>
    </row>
    <row r="3635" spans="4:4" x14ac:dyDescent="0.3">
      <c r="D3635" s="348"/>
    </row>
    <row r="3636" spans="4:4" x14ac:dyDescent="0.3">
      <c r="D3636" s="348"/>
    </row>
    <row r="3637" spans="4:4" x14ac:dyDescent="0.3">
      <c r="D3637" s="348"/>
    </row>
    <row r="3638" spans="4:4" x14ac:dyDescent="0.3">
      <c r="D3638" s="348"/>
    </row>
    <row r="3639" spans="4:4" x14ac:dyDescent="0.3">
      <c r="D3639" s="348"/>
    </row>
    <row r="3640" spans="4:4" x14ac:dyDescent="0.3">
      <c r="D3640" s="348"/>
    </row>
    <row r="3641" spans="4:4" x14ac:dyDescent="0.3">
      <c r="D3641" s="348"/>
    </row>
    <row r="3642" spans="4:4" x14ac:dyDescent="0.3">
      <c r="D3642" s="348"/>
    </row>
    <row r="3643" spans="4:4" x14ac:dyDescent="0.3">
      <c r="D3643" s="348"/>
    </row>
    <row r="3644" spans="4:4" x14ac:dyDescent="0.3">
      <c r="D3644" s="348"/>
    </row>
    <row r="3645" spans="4:4" x14ac:dyDescent="0.3">
      <c r="D3645" s="348"/>
    </row>
    <row r="3646" spans="4:4" x14ac:dyDescent="0.3">
      <c r="D3646" s="348"/>
    </row>
    <row r="3647" spans="4:4" x14ac:dyDescent="0.3">
      <c r="D3647" s="348"/>
    </row>
    <row r="3648" spans="4:4" x14ac:dyDescent="0.3">
      <c r="D3648" s="348"/>
    </row>
    <row r="3649" spans="4:4" x14ac:dyDescent="0.3">
      <c r="D3649" s="348"/>
    </row>
    <row r="3650" spans="4:4" x14ac:dyDescent="0.3">
      <c r="D3650" s="348"/>
    </row>
    <row r="3651" spans="4:4" x14ac:dyDescent="0.3">
      <c r="D3651" s="348"/>
    </row>
    <row r="3652" spans="4:4" x14ac:dyDescent="0.3">
      <c r="D3652" s="348"/>
    </row>
    <row r="3653" spans="4:4" x14ac:dyDescent="0.3">
      <c r="D3653" s="348"/>
    </row>
    <row r="3654" spans="4:4" x14ac:dyDescent="0.3">
      <c r="D3654" s="348"/>
    </row>
    <row r="3655" spans="4:4" x14ac:dyDescent="0.3">
      <c r="D3655" s="348"/>
    </row>
    <row r="3656" spans="4:4" x14ac:dyDescent="0.3">
      <c r="D3656" s="348"/>
    </row>
    <row r="3657" spans="4:4" x14ac:dyDescent="0.3">
      <c r="D3657" s="348"/>
    </row>
    <row r="3658" spans="4:4" x14ac:dyDescent="0.3">
      <c r="D3658" s="348"/>
    </row>
    <row r="3659" spans="4:4" x14ac:dyDescent="0.3">
      <c r="D3659" s="348"/>
    </row>
    <row r="3660" spans="4:4" x14ac:dyDescent="0.3">
      <c r="D3660" s="348"/>
    </row>
    <row r="3661" spans="4:4" x14ac:dyDescent="0.3">
      <c r="D3661" s="348"/>
    </row>
    <row r="3662" spans="4:4" x14ac:dyDescent="0.3">
      <c r="D3662" s="348"/>
    </row>
    <row r="3663" spans="4:4" x14ac:dyDescent="0.3">
      <c r="D3663" s="348"/>
    </row>
    <row r="3664" spans="4:4" x14ac:dyDescent="0.3">
      <c r="D3664" s="348"/>
    </row>
    <row r="3665" spans="4:4" x14ac:dyDescent="0.3">
      <c r="D3665" s="348"/>
    </row>
    <row r="3666" spans="4:4" x14ac:dyDescent="0.3">
      <c r="D3666" s="348"/>
    </row>
    <row r="3667" spans="4:4" x14ac:dyDescent="0.3">
      <c r="D3667" s="348"/>
    </row>
    <row r="3668" spans="4:4" x14ac:dyDescent="0.3">
      <c r="D3668" s="348"/>
    </row>
    <row r="3669" spans="4:4" x14ac:dyDescent="0.3">
      <c r="D3669" s="348"/>
    </row>
    <row r="3670" spans="4:4" x14ac:dyDescent="0.3">
      <c r="D3670" s="348"/>
    </row>
    <row r="3671" spans="4:4" x14ac:dyDescent="0.3">
      <c r="D3671" s="348"/>
    </row>
    <row r="3672" spans="4:4" x14ac:dyDescent="0.3">
      <c r="D3672" s="348"/>
    </row>
    <row r="3673" spans="4:4" x14ac:dyDescent="0.3">
      <c r="D3673" s="348"/>
    </row>
    <row r="3674" spans="4:4" x14ac:dyDescent="0.3">
      <c r="D3674" s="348"/>
    </row>
    <row r="3675" spans="4:4" x14ac:dyDescent="0.3">
      <c r="D3675" s="348"/>
    </row>
    <row r="3676" spans="4:4" x14ac:dyDescent="0.3">
      <c r="D3676" s="348"/>
    </row>
    <row r="3677" spans="4:4" x14ac:dyDescent="0.3">
      <c r="D3677" s="348"/>
    </row>
    <row r="3678" spans="4:4" x14ac:dyDescent="0.3">
      <c r="D3678" s="348"/>
    </row>
    <row r="3679" spans="4:4" x14ac:dyDescent="0.3">
      <c r="D3679" s="348"/>
    </row>
    <row r="3680" spans="4:4" x14ac:dyDescent="0.3">
      <c r="D3680" s="348"/>
    </row>
    <row r="3681" spans="4:4" x14ac:dyDescent="0.3">
      <c r="D3681" s="348"/>
    </row>
    <row r="3682" spans="4:4" x14ac:dyDescent="0.3">
      <c r="D3682" s="348"/>
    </row>
    <row r="3683" spans="4:4" x14ac:dyDescent="0.3">
      <c r="D3683" s="348"/>
    </row>
    <row r="3684" spans="4:4" x14ac:dyDescent="0.3">
      <c r="D3684" s="348"/>
    </row>
    <row r="3685" spans="4:4" x14ac:dyDescent="0.3">
      <c r="D3685" s="348"/>
    </row>
    <row r="3686" spans="4:4" x14ac:dyDescent="0.3">
      <c r="D3686" s="348"/>
    </row>
    <row r="3687" spans="4:4" x14ac:dyDescent="0.3">
      <c r="D3687" s="348"/>
    </row>
    <row r="3688" spans="4:4" x14ac:dyDescent="0.3">
      <c r="D3688" s="348"/>
    </row>
    <row r="3689" spans="4:4" x14ac:dyDescent="0.3">
      <c r="D3689" s="348"/>
    </row>
    <row r="3690" spans="4:4" x14ac:dyDescent="0.3">
      <c r="D3690" s="348"/>
    </row>
    <row r="3691" spans="4:4" x14ac:dyDescent="0.3">
      <c r="D3691" s="348"/>
    </row>
    <row r="3692" spans="4:4" x14ac:dyDescent="0.3">
      <c r="D3692" s="348"/>
    </row>
    <row r="3693" spans="4:4" x14ac:dyDescent="0.3">
      <c r="D3693" s="348"/>
    </row>
    <row r="3694" spans="4:4" x14ac:dyDescent="0.3">
      <c r="D3694" s="348"/>
    </row>
    <row r="3695" spans="4:4" x14ac:dyDescent="0.3">
      <c r="D3695" s="348"/>
    </row>
    <row r="3696" spans="4:4" x14ac:dyDescent="0.3">
      <c r="D3696" s="348"/>
    </row>
    <row r="3697" spans="4:4" x14ac:dyDescent="0.3">
      <c r="D3697" s="348"/>
    </row>
    <row r="3698" spans="4:4" x14ac:dyDescent="0.3">
      <c r="D3698" s="348"/>
    </row>
    <row r="3699" spans="4:4" x14ac:dyDescent="0.3">
      <c r="D3699" s="348"/>
    </row>
    <row r="3700" spans="4:4" x14ac:dyDescent="0.3">
      <c r="D3700" s="348"/>
    </row>
    <row r="3701" spans="4:4" x14ac:dyDescent="0.3">
      <c r="D3701" s="348"/>
    </row>
    <row r="3702" spans="4:4" x14ac:dyDescent="0.3">
      <c r="D3702" s="348"/>
    </row>
    <row r="3703" spans="4:4" x14ac:dyDescent="0.3">
      <c r="D3703" s="348"/>
    </row>
    <row r="3704" spans="4:4" x14ac:dyDescent="0.3">
      <c r="D3704" s="348"/>
    </row>
    <row r="3705" spans="4:4" x14ac:dyDescent="0.3">
      <c r="D3705" s="348"/>
    </row>
    <row r="3706" spans="4:4" x14ac:dyDescent="0.3">
      <c r="D3706" s="348"/>
    </row>
    <row r="3707" spans="4:4" x14ac:dyDescent="0.3">
      <c r="D3707" s="348"/>
    </row>
    <row r="3708" spans="4:4" x14ac:dyDescent="0.3">
      <c r="D3708" s="348"/>
    </row>
    <row r="3709" spans="4:4" x14ac:dyDescent="0.3">
      <c r="D3709" s="348"/>
    </row>
    <row r="3710" spans="4:4" x14ac:dyDescent="0.3">
      <c r="D3710" s="348"/>
    </row>
    <row r="3711" spans="4:4" x14ac:dyDescent="0.3">
      <c r="D3711" s="348"/>
    </row>
    <row r="3712" spans="4:4" x14ac:dyDescent="0.3">
      <c r="D3712" s="348"/>
    </row>
    <row r="3713" spans="4:4" x14ac:dyDescent="0.3">
      <c r="D3713" s="348"/>
    </row>
    <row r="3714" spans="4:4" x14ac:dyDescent="0.3">
      <c r="D3714" s="348"/>
    </row>
    <row r="3715" spans="4:4" x14ac:dyDescent="0.3">
      <c r="D3715" s="348"/>
    </row>
    <row r="3716" spans="4:4" x14ac:dyDescent="0.3">
      <c r="D3716" s="348"/>
    </row>
    <row r="3717" spans="4:4" x14ac:dyDescent="0.3">
      <c r="D3717" s="348"/>
    </row>
    <row r="3718" spans="4:4" x14ac:dyDescent="0.3">
      <c r="D3718" s="348"/>
    </row>
    <row r="3719" spans="4:4" x14ac:dyDescent="0.3">
      <c r="D3719" s="348"/>
    </row>
    <row r="3720" spans="4:4" x14ac:dyDescent="0.3">
      <c r="D3720" s="348"/>
    </row>
    <row r="3721" spans="4:4" x14ac:dyDescent="0.3">
      <c r="D3721" s="348"/>
    </row>
    <row r="3722" spans="4:4" x14ac:dyDescent="0.3">
      <c r="D3722" s="348"/>
    </row>
    <row r="3723" spans="4:4" x14ac:dyDescent="0.3">
      <c r="D3723" s="348"/>
    </row>
    <row r="3724" spans="4:4" x14ac:dyDescent="0.3">
      <c r="D3724" s="348"/>
    </row>
    <row r="3725" spans="4:4" x14ac:dyDescent="0.3">
      <c r="D3725" s="348"/>
    </row>
    <row r="3726" spans="4:4" x14ac:dyDescent="0.3">
      <c r="D3726" s="348"/>
    </row>
    <row r="3727" spans="4:4" x14ac:dyDescent="0.3">
      <c r="D3727" s="348"/>
    </row>
    <row r="3728" spans="4:4" x14ac:dyDescent="0.3">
      <c r="D3728" s="348"/>
    </row>
    <row r="3729" spans="4:4" x14ac:dyDescent="0.3">
      <c r="D3729" s="348"/>
    </row>
    <row r="3730" spans="4:4" x14ac:dyDescent="0.3">
      <c r="D3730" s="348"/>
    </row>
    <row r="3731" spans="4:4" x14ac:dyDescent="0.3">
      <c r="D3731" s="348"/>
    </row>
    <row r="3732" spans="4:4" x14ac:dyDescent="0.3">
      <c r="D3732" s="348"/>
    </row>
    <row r="3733" spans="4:4" x14ac:dyDescent="0.3">
      <c r="D3733" s="348"/>
    </row>
    <row r="3734" spans="4:4" x14ac:dyDescent="0.3">
      <c r="D3734" s="348"/>
    </row>
    <row r="3735" spans="4:4" x14ac:dyDescent="0.3">
      <c r="D3735" s="348"/>
    </row>
    <row r="3736" spans="4:4" x14ac:dyDescent="0.3">
      <c r="D3736" s="348"/>
    </row>
    <row r="3737" spans="4:4" x14ac:dyDescent="0.3">
      <c r="D3737" s="348"/>
    </row>
    <row r="3738" spans="4:4" x14ac:dyDescent="0.3">
      <c r="D3738" s="348"/>
    </row>
    <row r="3739" spans="4:4" x14ac:dyDescent="0.3">
      <c r="D3739" s="348"/>
    </row>
    <row r="3740" spans="4:4" x14ac:dyDescent="0.3">
      <c r="D3740" s="348"/>
    </row>
    <row r="3741" spans="4:4" x14ac:dyDescent="0.3">
      <c r="D3741" s="348"/>
    </row>
    <row r="3742" spans="4:4" x14ac:dyDescent="0.3">
      <c r="D3742" s="348"/>
    </row>
    <row r="3743" spans="4:4" x14ac:dyDescent="0.3">
      <c r="D3743" s="348"/>
    </row>
    <row r="3744" spans="4:4" x14ac:dyDescent="0.3">
      <c r="D3744" s="348"/>
    </row>
    <row r="3745" spans="4:4" x14ac:dyDescent="0.3">
      <c r="D3745" s="348"/>
    </row>
    <row r="3746" spans="4:4" x14ac:dyDescent="0.3">
      <c r="D3746" s="348"/>
    </row>
    <row r="3747" spans="4:4" x14ac:dyDescent="0.3">
      <c r="D3747" s="348"/>
    </row>
    <row r="3748" spans="4:4" x14ac:dyDescent="0.3">
      <c r="D3748" s="348"/>
    </row>
    <row r="3749" spans="4:4" x14ac:dyDescent="0.3">
      <c r="D3749" s="348"/>
    </row>
    <row r="3750" spans="4:4" x14ac:dyDescent="0.3">
      <c r="D3750" s="348"/>
    </row>
    <row r="3751" spans="4:4" x14ac:dyDescent="0.3">
      <c r="D3751" s="348"/>
    </row>
    <row r="3752" spans="4:4" x14ac:dyDescent="0.3">
      <c r="D3752" s="348"/>
    </row>
    <row r="3753" spans="4:4" x14ac:dyDescent="0.3">
      <c r="D3753" s="348"/>
    </row>
    <row r="3754" spans="4:4" x14ac:dyDescent="0.3">
      <c r="D3754" s="348"/>
    </row>
    <row r="3755" spans="4:4" x14ac:dyDescent="0.3">
      <c r="D3755" s="348"/>
    </row>
    <row r="3756" spans="4:4" x14ac:dyDescent="0.3">
      <c r="D3756" s="348"/>
    </row>
    <row r="3757" spans="4:4" x14ac:dyDescent="0.3">
      <c r="D3757" s="348"/>
    </row>
    <row r="3758" spans="4:4" x14ac:dyDescent="0.3">
      <c r="D3758" s="348"/>
    </row>
    <row r="3759" spans="4:4" x14ac:dyDescent="0.3">
      <c r="D3759" s="348"/>
    </row>
    <row r="3760" spans="4:4" x14ac:dyDescent="0.3">
      <c r="D3760" s="348"/>
    </row>
    <row r="3761" spans="4:4" x14ac:dyDescent="0.3">
      <c r="D3761" s="348"/>
    </row>
    <row r="3762" spans="4:4" x14ac:dyDescent="0.3">
      <c r="D3762" s="348"/>
    </row>
    <row r="3763" spans="4:4" x14ac:dyDescent="0.3">
      <c r="D3763" s="348"/>
    </row>
    <row r="3764" spans="4:4" x14ac:dyDescent="0.3">
      <c r="D3764" s="348"/>
    </row>
    <row r="3765" spans="4:4" x14ac:dyDescent="0.3">
      <c r="D3765" s="348"/>
    </row>
    <row r="3766" spans="4:4" x14ac:dyDescent="0.3">
      <c r="D3766" s="348"/>
    </row>
    <row r="3767" spans="4:4" x14ac:dyDescent="0.3">
      <c r="D3767" s="348"/>
    </row>
    <row r="3768" spans="4:4" x14ac:dyDescent="0.3">
      <c r="D3768" s="348"/>
    </row>
    <row r="3769" spans="4:4" x14ac:dyDescent="0.3">
      <c r="D3769" s="348"/>
    </row>
    <row r="3770" spans="4:4" x14ac:dyDescent="0.3">
      <c r="D3770" s="348"/>
    </row>
    <row r="3771" spans="4:4" x14ac:dyDescent="0.3">
      <c r="D3771" s="348"/>
    </row>
    <row r="3772" spans="4:4" x14ac:dyDescent="0.3">
      <c r="D3772" s="348"/>
    </row>
    <row r="3773" spans="4:4" x14ac:dyDescent="0.3">
      <c r="D3773" s="348"/>
    </row>
    <row r="3774" spans="4:4" x14ac:dyDescent="0.3">
      <c r="D3774" s="348"/>
    </row>
    <row r="3775" spans="4:4" x14ac:dyDescent="0.3">
      <c r="D3775" s="348"/>
    </row>
    <row r="3776" spans="4:4" x14ac:dyDescent="0.3">
      <c r="D3776" s="348"/>
    </row>
    <row r="3777" spans="4:4" x14ac:dyDescent="0.3">
      <c r="D3777" s="348"/>
    </row>
    <row r="3778" spans="4:4" x14ac:dyDescent="0.3">
      <c r="D3778" s="348"/>
    </row>
    <row r="3779" spans="4:4" x14ac:dyDescent="0.3">
      <c r="D3779" s="348"/>
    </row>
    <row r="3780" spans="4:4" x14ac:dyDescent="0.3">
      <c r="D3780" s="348"/>
    </row>
    <row r="3781" spans="4:4" x14ac:dyDescent="0.3">
      <c r="D3781" s="348"/>
    </row>
    <row r="3782" spans="4:4" x14ac:dyDescent="0.3">
      <c r="D3782" s="348"/>
    </row>
    <row r="3783" spans="4:4" x14ac:dyDescent="0.3">
      <c r="D3783" s="348"/>
    </row>
    <row r="3784" spans="4:4" x14ac:dyDescent="0.3">
      <c r="D3784" s="348"/>
    </row>
    <row r="3785" spans="4:4" x14ac:dyDescent="0.3">
      <c r="D3785" s="348"/>
    </row>
    <row r="3786" spans="4:4" x14ac:dyDescent="0.3">
      <c r="D3786" s="348"/>
    </row>
    <row r="3787" spans="4:4" x14ac:dyDescent="0.3">
      <c r="D3787" s="348"/>
    </row>
    <row r="3788" spans="4:4" x14ac:dyDescent="0.3">
      <c r="D3788" s="348"/>
    </row>
    <row r="3789" spans="4:4" x14ac:dyDescent="0.3">
      <c r="D3789" s="348"/>
    </row>
    <row r="3790" spans="4:4" x14ac:dyDescent="0.3">
      <c r="D3790" s="348"/>
    </row>
    <row r="3791" spans="4:4" x14ac:dyDescent="0.3">
      <c r="D3791" s="348"/>
    </row>
    <row r="3792" spans="4:4" x14ac:dyDescent="0.3">
      <c r="D3792" s="348"/>
    </row>
    <row r="3793" spans="4:4" x14ac:dyDescent="0.3">
      <c r="D3793" s="348"/>
    </row>
    <row r="3794" spans="4:4" x14ac:dyDescent="0.3">
      <c r="D3794" s="348"/>
    </row>
    <row r="3795" spans="4:4" x14ac:dyDescent="0.3">
      <c r="D3795" s="348"/>
    </row>
    <row r="3796" spans="4:4" x14ac:dyDescent="0.3">
      <c r="D3796" s="348"/>
    </row>
    <row r="3797" spans="4:4" x14ac:dyDescent="0.3">
      <c r="D3797" s="348"/>
    </row>
    <row r="3798" spans="4:4" x14ac:dyDescent="0.3">
      <c r="D3798" s="348"/>
    </row>
    <row r="3799" spans="4:4" x14ac:dyDescent="0.3">
      <c r="D3799" s="348"/>
    </row>
    <row r="3800" spans="4:4" x14ac:dyDescent="0.3">
      <c r="D3800" s="348"/>
    </row>
    <row r="3801" spans="4:4" x14ac:dyDescent="0.3">
      <c r="D3801" s="348"/>
    </row>
    <row r="3802" spans="4:4" x14ac:dyDescent="0.3">
      <c r="D3802" s="348"/>
    </row>
    <row r="3803" spans="4:4" x14ac:dyDescent="0.3">
      <c r="D3803" s="348"/>
    </row>
    <row r="3804" spans="4:4" x14ac:dyDescent="0.3">
      <c r="D3804" s="348"/>
    </row>
    <row r="3805" spans="4:4" x14ac:dyDescent="0.3">
      <c r="D3805" s="348"/>
    </row>
    <row r="3806" spans="4:4" x14ac:dyDescent="0.3">
      <c r="D3806" s="348"/>
    </row>
    <row r="3807" spans="4:4" x14ac:dyDescent="0.3">
      <c r="D3807" s="348"/>
    </row>
    <row r="3808" spans="4:4" x14ac:dyDescent="0.3">
      <c r="D3808" s="348"/>
    </row>
    <row r="3809" spans="4:4" x14ac:dyDescent="0.3">
      <c r="D3809" s="348"/>
    </row>
    <row r="3810" spans="4:4" x14ac:dyDescent="0.3">
      <c r="D3810" s="348"/>
    </row>
    <row r="3811" spans="4:4" x14ac:dyDescent="0.3">
      <c r="D3811" s="348"/>
    </row>
    <row r="3812" spans="4:4" x14ac:dyDescent="0.3">
      <c r="D3812" s="348"/>
    </row>
    <row r="3813" spans="4:4" x14ac:dyDescent="0.3">
      <c r="D3813" s="348"/>
    </row>
    <row r="3814" spans="4:4" x14ac:dyDescent="0.3">
      <c r="D3814" s="348"/>
    </row>
    <row r="3815" spans="4:4" x14ac:dyDescent="0.3">
      <c r="D3815" s="348"/>
    </row>
    <row r="3816" spans="4:4" x14ac:dyDescent="0.3">
      <c r="D3816" s="348"/>
    </row>
    <row r="3817" spans="4:4" x14ac:dyDescent="0.3">
      <c r="D3817" s="348"/>
    </row>
    <row r="3818" spans="4:4" x14ac:dyDescent="0.3">
      <c r="D3818" s="348"/>
    </row>
    <row r="3819" spans="4:4" x14ac:dyDescent="0.3">
      <c r="D3819" s="348"/>
    </row>
    <row r="3820" spans="4:4" x14ac:dyDescent="0.3">
      <c r="D3820" s="348"/>
    </row>
    <row r="3821" spans="4:4" x14ac:dyDescent="0.3">
      <c r="D3821" s="348"/>
    </row>
    <row r="3822" spans="4:4" x14ac:dyDescent="0.3">
      <c r="D3822" s="348"/>
    </row>
    <row r="3823" spans="4:4" x14ac:dyDescent="0.3">
      <c r="D3823" s="348"/>
    </row>
    <row r="3824" spans="4:4" x14ac:dyDescent="0.3">
      <c r="D3824" s="348"/>
    </row>
    <row r="3825" spans="4:4" x14ac:dyDescent="0.3">
      <c r="D3825" s="348"/>
    </row>
    <row r="3826" spans="4:4" x14ac:dyDescent="0.3">
      <c r="D3826" s="348"/>
    </row>
    <row r="3827" spans="4:4" x14ac:dyDescent="0.3">
      <c r="D3827" s="348"/>
    </row>
    <row r="3828" spans="4:4" x14ac:dyDescent="0.3">
      <c r="D3828" s="348"/>
    </row>
    <row r="3829" spans="4:4" x14ac:dyDescent="0.3">
      <c r="D3829" s="348"/>
    </row>
    <row r="3830" spans="4:4" x14ac:dyDescent="0.3">
      <c r="D3830" s="348"/>
    </row>
    <row r="3831" spans="4:4" x14ac:dyDescent="0.3">
      <c r="D3831" s="348"/>
    </row>
    <row r="3832" spans="4:4" x14ac:dyDescent="0.3">
      <c r="D3832" s="348"/>
    </row>
    <row r="3833" spans="4:4" x14ac:dyDescent="0.3">
      <c r="D3833" s="348"/>
    </row>
    <row r="3834" spans="4:4" x14ac:dyDescent="0.3">
      <c r="D3834" s="348"/>
    </row>
    <row r="3835" spans="4:4" x14ac:dyDescent="0.3">
      <c r="D3835" s="348"/>
    </row>
    <row r="3836" spans="4:4" x14ac:dyDescent="0.3">
      <c r="D3836" s="348"/>
    </row>
    <row r="3837" spans="4:4" x14ac:dyDescent="0.3">
      <c r="D3837" s="348"/>
    </row>
    <row r="3838" spans="4:4" x14ac:dyDescent="0.3">
      <c r="D3838" s="348"/>
    </row>
    <row r="3839" spans="4:4" x14ac:dyDescent="0.3">
      <c r="D3839" s="348"/>
    </row>
    <row r="3840" spans="4:4" x14ac:dyDescent="0.3">
      <c r="D3840" s="348"/>
    </row>
    <row r="3841" spans="4:4" x14ac:dyDescent="0.3">
      <c r="D3841" s="348"/>
    </row>
    <row r="3842" spans="4:4" x14ac:dyDescent="0.3">
      <c r="D3842" s="348"/>
    </row>
    <row r="3843" spans="4:4" x14ac:dyDescent="0.3">
      <c r="D3843" s="348"/>
    </row>
    <row r="3844" spans="4:4" x14ac:dyDescent="0.3">
      <c r="D3844" s="348"/>
    </row>
    <row r="3845" spans="4:4" x14ac:dyDescent="0.3">
      <c r="D3845" s="348"/>
    </row>
    <row r="3846" spans="4:4" x14ac:dyDescent="0.3">
      <c r="D3846" s="348"/>
    </row>
    <row r="3847" spans="4:4" x14ac:dyDescent="0.3">
      <c r="D3847" s="348"/>
    </row>
    <row r="3848" spans="4:4" x14ac:dyDescent="0.3">
      <c r="D3848" s="348"/>
    </row>
    <row r="3849" spans="4:4" x14ac:dyDescent="0.3">
      <c r="D3849" s="348"/>
    </row>
    <row r="3850" spans="4:4" x14ac:dyDescent="0.3">
      <c r="D3850" s="348"/>
    </row>
    <row r="3851" spans="4:4" x14ac:dyDescent="0.3">
      <c r="D3851" s="348"/>
    </row>
    <row r="3852" spans="4:4" x14ac:dyDescent="0.3">
      <c r="D3852" s="348"/>
    </row>
    <row r="3853" spans="4:4" x14ac:dyDescent="0.3">
      <c r="D3853" s="348"/>
    </row>
    <row r="3854" spans="4:4" x14ac:dyDescent="0.3">
      <c r="D3854" s="348"/>
    </row>
    <row r="3855" spans="4:4" x14ac:dyDescent="0.3">
      <c r="D3855" s="348"/>
    </row>
    <row r="3856" spans="4:4" x14ac:dyDescent="0.3">
      <c r="D3856" s="348"/>
    </row>
    <row r="3857" spans="4:4" x14ac:dyDescent="0.3">
      <c r="D3857" s="348"/>
    </row>
    <row r="3858" spans="4:4" x14ac:dyDescent="0.3">
      <c r="D3858" s="348"/>
    </row>
    <row r="3859" spans="4:4" x14ac:dyDescent="0.3">
      <c r="D3859" s="348"/>
    </row>
    <row r="3860" spans="4:4" x14ac:dyDescent="0.3">
      <c r="D3860" s="348"/>
    </row>
    <row r="3861" spans="4:4" x14ac:dyDescent="0.3">
      <c r="D3861" s="348"/>
    </row>
    <row r="3862" spans="4:4" x14ac:dyDescent="0.3">
      <c r="D3862" s="348"/>
    </row>
    <row r="3863" spans="4:4" x14ac:dyDescent="0.3">
      <c r="D3863" s="348"/>
    </row>
    <row r="3864" spans="4:4" x14ac:dyDescent="0.3">
      <c r="D3864" s="348"/>
    </row>
    <row r="3865" spans="4:4" x14ac:dyDescent="0.3">
      <c r="D3865" s="348"/>
    </row>
    <row r="3866" spans="4:4" x14ac:dyDescent="0.3">
      <c r="D3866" s="348"/>
    </row>
    <row r="3867" spans="4:4" x14ac:dyDescent="0.3">
      <c r="D3867" s="348"/>
    </row>
    <row r="3868" spans="4:4" x14ac:dyDescent="0.3">
      <c r="D3868" s="348"/>
    </row>
    <row r="3869" spans="4:4" x14ac:dyDescent="0.3">
      <c r="D3869" s="348"/>
    </row>
    <row r="3870" spans="4:4" x14ac:dyDescent="0.3">
      <c r="D3870" s="348"/>
    </row>
    <row r="3871" spans="4:4" x14ac:dyDescent="0.3">
      <c r="D3871" s="348"/>
    </row>
    <row r="3872" spans="4:4" x14ac:dyDescent="0.3">
      <c r="D3872" s="348"/>
    </row>
    <row r="3873" spans="4:4" x14ac:dyDescent="0.3">
      <c r="D3873" s="348"/>
    </row>
    <row r="3874" spans="4:4" x14ac:dyDescent="0.3">
      <c r="D3874" s="348"/>
    </row>
    <row r="3875" spans="4:4" x14ac:dyDescent="0.3">
      <c r="D3875" s="348"/>
    </row>
    <row r="3876" spans="4:4" x14ac:dyDescent="0.3">
      <c r="D3876" s="348"/>
    </row>
    <row r="3877" spans="4:4" x14ac:dyDescent="0.3">
      <c r="D3877" s="348"/>
    </row>
    <row r="3878" spans="4:4" x14ac:dyDescent="0.3">
      <c r="D3878" s="348"/>
    </row>
    <row r="3879" spans="4:4" x14ac:dyDescent="0.3">
      <c r="D3879" s="348"/>
    </row>
    <row r="3880" spans="4:4" x14ac:dyDescent="0.3">
      <c r="D3880" s="348"/>
    </row>
    <row r="3881" spans="4:4" x14ac:dyDescent="0.3">
      <c r="D3881" s="348"/>
    </row>
    <row r="3882" spans="4:4" x14ac:dyDescent="0.3">
      <c r="D3882" s="348"/>
    </row>
    <row r="3883" spans="4:4" x14ac:dyDescent="0.3">
      <c r="D3883" s="348"/>
    </row>
    <row r="3884" spans="4:4" x14ac:dyDescent="0.3">
      <c r="D3884" s="348"/>
    </row>
    <row r="3885" spans="4:4" x14ac:dyDescent="0.3">
      <c r="D3885" s="348"/>
    </row>
    <row r="3886" spans="4:4" x14ac:dyDescent="0.3">
      <c r="D3886" s="348"/>
    </row>
    <row r="3887" spans="4:4" x14ac:dyDescent="0.3">
      <c r="D3887" s="348"/>
    </row>
    <row r="3888" spans="4:4" x14ac:dyDescent="0.3">
      <c r="D3888" s="348"/>
    </row>
    <row r="3889" spans="4:4" x14ac:dyDescent="0.3">
      <c r="D3889" s="348"/>
    </row>
    <row r="3890" spans="4:4" x14ac:dyDescent="0.3">
      <c r="D3890" s="348"/>
    </row>
    <row r="3891" spans="4:4" x14ac:dyDescent="0.3">
      <c r="D3891" s="348"/>
    </row>
    <row r="3892" spans="4:4" x14ac:dyDescent="0.3">
      <c r="D3892" s="348"/>
    </row>
    <row r="3893" spans="4:4" x14ac:dyDescent="0.3">
      <c r="D3893" s="348"/>
    </row>
    <row r="3894" spans="4:4" x14ac:dyDescent="0.3">
      <c r="D3894" s="348"/>
    </row>
    <row r="3895" spans="4:4" x14ac:dyDescent="0.3">
      <c r="D3895" s="348"/>
    </row>
    <row r="3896" spans="4:4" x14ac:dyDescent="0.3">
      <c r="D3896" s="348"/>
    </row>
    <row r="3897" spans="4:4" x14ac:dyDescent="0.3">
      <c r="D3897" s="348"/>
    </row>
    <row r="3898" spans="4:4" x14ac:dyDescent="0.3">
      <c r="D3898" s="348"/>
    </row>
    <row r="3899" spans="4:4" x14ac:dyDescent="0.3">
      <c r="D3899" s="348"/>
    </row>
    <row r="3900" spans="4:4" x14ac:dyDescent="0.3">
      <c r="D3900" s="348"/>
    </row>
    <row r="3901" spans="4:4" x14ac:dyDescent="0.3">
      <c r="D3901" s="348"/>
    </row>
    <row r="3902" spans="4:4" x14ac:dyDescent="0.3">
      <c r="D3902" s="348"/>
    </row>
    <row r="3903" spans="4:4" x14ac:dyDescent="0.3">
      <c r="D3903" s="348"/>
    </row>
    <row r="3904" spans="4:4" x14ac:dyDescent="0.3">
      <c r="D3904" s="348"/>
    </row>
    <row r="3905" spans="4:4" x14ac:dyDescent="0.3">
      <c r="D3905" s="348"/>
    </row>
    <row r="3906" spans="4:4" x14ac:dyDescent="0.3">
      <c r="D3906" s="348"/>
    </row>
    <row r="3907" spans="4:4" x14ac:dyDescent="0.3">
      <c r="D3907" s="348"/>
    </row>
    <row r="3908" spans="4:4" x14ac:dyDescent="0.3">
      <c r="D3908" s="348"/>
    </row>
    <row r="3909" spans="4:4" x14ac:dyDescent="0.3">
      <c r="D3909" s="348"/>
    </row>
    <row r="3910" spans="4:4" x14ac:dyDescent="0.3">
      <c r="D3910" s="348"/>
    </row>
    <row r="3911" spans="4:4" x14ac:dyDescent="0.3">
      <c r="D3911" s="348"/>
    </row>
    <row r="3912" spans="4:4" x14ac:dyDescent="0.3">
      <c r="D3912" s="348"/>
    </row>
    <row r="3913" spans="4:4" x14ac:dyDescent="0.3">
      <c r="D3913" s="348"/>
    </row>
    <row r="3914" spans="4:4" x14ac:dyDescent="0.3">
      <c r="D3914" s="348"/>
    </row>
    <row r="3915" spans="4:4" x14ac:dyDescent="0.3">
      <c r="D3915" s="348"/>
    </row>
    <row r="3916" spans="4:4" x14ac:dyDescent="0.3">
      <c r="D3916" s="348"/>
    </row>
    <row r="3917" spans="4:4" x14ac:dyDescent="0.3">
      <c r="D3917" s="348"/>
    </row>
    <row r="3918" spans="4:4" x14ac:dyDescent="0.3">
      <c r="D3918" s="348"/>
    </row>
    <row r="3919" spans="4:4" x14ac:dyDescent="0.3">
      <c r="D3919" s="348"/>
    </row>
    <row r="3920" spans="4:4" x14ac:dyDescent="0.3">
      <c r="D3920" s="348"/>
    </row>
    <row r="3921" spans="4:4" x14ac:dyDescent="0.3">
      <c r="D3921" s="348"/>
    </row>
    <row r="3922" spans="4:4" x14ac:dyDescent="0.3">
      <c r="D3922" s="348"/>
    </row>
    <row r="3923" spans="4:4" x14ac:dyDescent="0.3">
      <c r="D3923" s="348"/>
    </row>
    <row r="3924" spans="4:4" x14ac:dyDescent="0.3">
      <c r="D3924" s="348"/>
    </row>
    <row r="3925" spans="4:4" x14ac:dyDescent="0.3">
      <c r="D3925" s="348"/>
    </row>
    <row r="3926" spans="4:4" x14ac:dyDescent="0.3">
      <c r="D3926" s="348"/>
    </row>
    <row r="3927" spans="4:4" x14ac:dyDescent="0.3">
      <c r="D3927" s="348"/>
    </row>
    <row r="3928" spans="4:4" x14ac:dyDescent="0.3">
      <c r="D3928" s="348"/>
    </row>
    <row r="3929" spans="4:4" x14ac:dyDescent="0.3">
      <c r="D3929" s="348"/>
    </row>
    <row r="3930" spans="4:4" x14ac:dyDescent="0.3">
      <c r="D3930" s="348"/>
    </row>
    <row r="3931" spans="4:4" x14ac:dyDescent="0.3">
      <c r="D3931" s="348"/>
    </row>
    <row r="3932" spans="4:4" x14ac:dyDescent="0.3">
      <c r="D3932" s="348"/>
    </row>
    <row r="3933" spans="4:4" x14ac:dyDescent="0.3">
      <c r="D3933" s="348"/>
    </row>
    <row r="3934" spans="4:4" x14ac:dyDescent="0.3">
      <c r="D3934" s="348"/>
    </row>
    <row r="3935" spans="4:4" x14ac:dyDescent="0.3">
      <c r="D3935" s="348"/>
    </row>
    <row r="3936" spans="4:4" x14ac:dyDescent="0.3">
      <c r="D3936" s="348"/>
    </row>
    <row r="3937" spans="4:4" x14ac:dyDescent="0.3">
      <c r="D3937" s="348"/>
    </row>
    <row r="3938" spans="4:4" x14ac:dyDescent="0.3">
      <c r="D3938" s="348"/>
    </row>
    <row r="3939" spans="4:4" x14ac:dyDescent="0.3">
      <c r="D3939" s="348"/>
    </row>
    <row r="3940" spans="4:4" x14ac:dyDescent="0.3">
      <c r="D3940" s="348"/>
    </row>
    <row r="3941" spans="4:4" x14ac:dyDescent="0.3">
      <c r="D3941" s="348"/>
    </row>
    <row r="3942" spans="4:4" x14ac:dyDescent="0.3">
      <c r="D3942" s="348"/>
    </row>
    <row r="3943" spans="4:4" x14ac:dyDescent="0.3">
      <c r="D3943" s="348"/>
    </row>
    <row r="3944" spans="4:4" x14ac:dyDescent="0.3">
      <c r="D3944" s="348"/>
    </row>
    <row r="3945" spans="4:4" x14ac:dyDescent="0.3">
      <c r="D3945" s="348"/>
    </row>
    <row r="3946" spans="4:4" x14ac:dyDescent="0.3">
      <c r="D3946" s="348"/>
    </row>
    <row r="3947" spans="4:4" x14ac:dyDescent="0.3">
      <c r="D3947" s="348"/>
    </row>
    <row r="3948" spans="4:4" x14ac:dyDescent="0.3">
      <c r="D3948" s="348"/>
    </row>
    <row r="3949" spans="4:4" x14ac:dyDescent="0.3">
      <c r="D3949" s="348"/>
    </row>
    <row r="3950" spans="4:4" x14ac:dyDescent="0.3">
      <c r="D3950" s="348"/>
    </row>
    <row r="3951" spans="4:4" x14ac:dyDescent="0.3">
      <c r="D3951" s="348"/>
    </row>
    <row r="3952" spans="4:4" x14ac:dyDescent="0.3">
      <c r="D3952" s="348"/>
    </row>
    <row r="3953" spans="4:4" x14ac:dyDescent="0.3">
      <c r="D3953" s="348"/>
    </row>
    <row r="3954" spans="4:4" x14ac:dyDescent="0.3">
      <c r="D3954" s="348"/>
    </row>
    <row r="3955" spans="4:4" x14ac:dyDescent="0.3">
      <c r="D3955" s="348"/>
    </row>
    <row r="3956" spans="4:4" x14ac:dyDescent="0.3">
      <c r="D3956" s="348"/>
    </row>
    <row r="3957" spans="4:4" x14ac:dyDescent="0.3">
      <c r="D3957" s="348"/>
    </row>
    <row r="3958" spans="4:4" x14ac:dyDescent="0.3">
      <c r="D3958" s="348"/>
    </row>
    <row r="3959" spans="4:4" x14ac:dyDescent="0.3">
      <c r="D3959" s="348"/>
    </row>
    <row r="3960" spans="4:4" x14ac:dyDescent="0.3">
      <c r="D3960" s="348"/>
    </row>
    <row r="3961" spans="4:4" x14ac:dyDescent="0.3">
      <c r="D3961" s="348"/>
    </row>
    <row r="3962" spans="4:4" x14ac:dyDescent="0.3">
      <c r="D3962" s="348"/>
    </row>
    <row r="3963" spans="4:4" x14ac:dyDescent="0.3">
      <c r="D3963" s="348"/>
    </row>
    <row r="3964" spans="4:4" x14ac:dyDescent="0.3">
      <c r="D3964" s="348"/>
    </row>
    <row r="3965" spans="4:4" x14ac:dyDescent="0.3">
      <c r="D3965" s="348"/>
    </row>
    <row r="3966" spans="4:4" x14ac:dyDescent="0.3">
      <c r="D3966" s="348"/>
    </row>
    <row r="3967" spans="4:4" x14ac:dyDescent="0.3">
      <c r="D3967" s="348"/>
    </row>
    <row r="3968" spans="4:4" x14ac:dyDescent="0.3">
      <c r="D3968" s="348"/>
    </row>
    <row r="3969" spans="4:4" x14ac:dyDescent="0.3">
      <c r="D3969" s="348"/>
    </row>
    <row r="3970" spans="4:4" x14ac:dyDescent="0.3">
      <c r="D3970" s="348"/>
    </row>
    <row r="3971" spans="4:4" x14ac:dyDescent="0.3">
      <c r="D3971" s="348"/>
    </row>
    <row r="3972" spans="4:4" x14ac:dyDescent="0.3">
      <c r="D3972" s="348"/>
    </row>
    <row r="3973" spans="4:4" x14ac:dyDescent="0.3">
      <c r="D3973" s="348"/>
    </row>
    <row r="3974" spans="4:4" x14ac:dyDescent="0.3">
      <c r="D3974" s="348"/>
    </row>
    <row r="3975" spans="4:4" x14ac:dyDescent="0.3">
      <c r="D3975" s="348"/>
    </row>
    <row r="3976" spans="4:4" x14ac:dyDescent="0.3">
      <c r="D3976" s="348"/>
    </row>
    <row r="3977" spans="4:4" x14ac:dyDescent="0.3">
      <c r="D3977" s="348"/>
    </row>
    <row r="3978" spans="4:4" x14ac:dyDescent="0.3">
      <c r="D3978" s="348"/>
    </row>
    <row r="3979" spans="4:4" x14ac:dyDescent="0.3">
      <c r="D3979" s="348"/>
    </row>
    <row r="3980" spans="4:4" x14ac:dyDescent="0.3">
      <c r="D3980" s="348"/>
    </row>
    <row r="3981" spans="4:4" x14ac:dyDescent="0.3">
      <c r="D3981" s="348"/>
    </row>
    <row r="3982" spans="4:4" x14ac:dyDescent="0.3">
      <c r="D3982" s="348"/>
    </row>
    <row r="3983" spans="4:4" x14ac:dyDescent="0.3">
      <c r="D3983" s="348"/>
    </row>
    <row r="3984" spans="4:4" x14ac:dyDescent="0.3">
      <c r="D3984" s="348"/>
    </row>
    <row r="3985" spans="4:4" x14ac:dyDescent="0.3">
      <c r="D3985" s="348"/>
    </row>
    <row r="3986" spans="4:4" x14ac:dyDescent="0.3">
      <c r="D3986" s="348"/>
    </row>
    <row r="3987" spans="4:4" x14ac:dyDescent="0.3">
      <c r="D3987" s="348"/>
    </row>
    <row r="3988" spans="4:4" x14ac:dyDescent="0.3">
      <c r="D3988" s="348"/>
    </row>
    <row r="3989" spans="4:4" x14ac:dyDescent="0.3">
      <c r="D3989" s="348"/>
    </row>
    <row r="3990" spans="4:4" x14ac:dyDescent="0.3">
      <c r="D3990" s="348"/>
    </row>
    <row r="3991" spans="4:4" x14ac:dyDescent="0.3">
      <c r="D3991" s="348"/>
    </row>
    <row r="3992" spans="4:4" x14ac:dyDescent="0.3">
      <c r="D3992" s="348"/>
    </row>
    <row r="3993" spans="4:4" x14ac:dyDescent="0.3">
      <c r="D3993" s="348"/>
    </row>
    <row r="3994" spans="4:4" x14ac:dyDescent="0.3">
      <c r="D3994" s="348"/>
    </row>
    <row r="3995" spans="4:4" x14ac:dyDescent="0.3">
      <c r="D3995" s="348"/>
    </row>
    <row r="3996" spans="4:4" x14ac:dyDescent="0.3">
      <c r="D3996" s="348"/>
    </row>
    <row r="3997" spans="4:4" x14ac:dyDescent="0.3">
      <c r="D3997" s="348"/>
    </row>
    <row r="3998" spans="4:4" x14ac:dyDescent="0.3">
      <c r="D3998" s="348"/>
    </row>
    <row r="3999" spans="4:4" x14ac:dyDescent="0.3">
      <c r="D3999" s="348"/>
    </row>
    <row r="4000" spans="4:4" x14ac:dyDescent="0.3">
      <c r="D4000" s="348"/>
    </row>
    <row r="4001" spans="4:4" x14ac:dyDescent="0.3">
      <c r="D4001" s="348"/>
    </row>
    <row r="4002" spans="4:4" x14ac:dyDescent="0.3">
      <c r="D4002" s="348"/>
    </row>
    <row r="4003" spans="4:4" x14ac:dyDescent="0.3">
      <c r="D4003" s="348"/>
    </row>
    <row r="4004" spans="4:4" x14ac:dyDescent="0.3">
      <c r="D4004" s="348"/>
    </row>
    <row r="4005" spans="4:4" x14ac:dyDescent="0.3">
      <c r="D4005" s="348"/>
    </row>
    <row r="4006" spans="4:4" x14ac:dyDescent="0.3">
      <c r="D4006" s="348"/>
    </row>
    <row r="4007" spans="4:4" x14ac:dyDescent="0.3">
      <c r="D4007" s="348"/>
    </row>
    <row r="4008" spans="4:4" x14ac:dyDescent="0.3">
      <c r="D4008" s="348"/>
    </row>
    <row r="4009" spans="4:4" x14ac:dyDescent="0.3">
      <c r="D4009" s="348"/>
    </row>
    <row r="4010" spans="4:4" x14ac:dyDescent="0.3">
      <c r="D4010" s="348"/>
    </row>
    <row r="4011" spans="4:4" x14ac:dyDescent="0.3">
      <c r="D4011" s="348"/>
    </row>
    <row r="4012" spans="4:4" x14ac:dyDescent="0.3">
      <c r="D4012" s="348"/>
    </row>
    <row r="4013" spans="4:4" x14ac:dyDescent="0.3">
      <c r="D4013" s="348"/>
    </row>
    <row r="4014" spans="4:4" x14ac:dyDescent="0.3">
      <c r="D4014" s="348"/>
    </row>
    <row r="4015" spans="4:4" x14ac:dyDescent="0.3">
      <c r="D4015" s="348"/>
    </row>
    <row r="4016" spans="4:4" x14ac:dyDescent="0.3">
      <c r="D4016" s="348"/>
    </row>
    <row r="4017" spans="4:4" x14ac:dyDescent="0.3">
      <c r="D4017" s="348"/>
    </row>
    <row r="4018" spans="4:4" x14ac:dyDescent="0.3">
      <c r="D4018" s="348"/>
    </row>
    <row r="4019" spans="4:4" x14ac:dyDescent="0.3">
      <c r="D4019" s="348"/>
    </row>
    <row r="4020" spans="4:4" x14ac:dyDescent="0.3">
      <c r="D4020" s="348"/>
    </row>
    <row r="4021" spans="4:4" x14ac:dyDescent="0.3">
      <c r="D4021" s="348"/>
    </row>
    <row r="4022" spans="4:4" x14ac:dyDescent="0.3">
      <c r="D4022" s="348"/>
    </row>
    <row r="4023" spans="4:4" x14ac:dyDescent="0.3">
      <c r="D4023" s="348"/>
    </row>
    <row r="4024" spans="4:4" x14ac:dyDescent="0.3">
      <c r="D4024" s="348"/>
    </row>
    <row r="4025" spans="4:4" x14ac:dyDescent="0.3">
      <c r="D4025" s="348"/>
    </row>
    <row r="4026" spans="4:4" x14ac:dyDescent="0.3">
      <c r="D4026" s="348"/>
    </row>
    <row r="4027" spans="4:4" x14ac:dyDescent="0.3">
      <c r="D4027" s="348"/>
    </row>
    <row r="4028" spans="4:4" x14ac:dyDescent="0.3">
      <c r="D4028" s="348"/>
    </row>
    <row r="4029" spans="4:4" x14ac:dyDescent="0.3">
      <c r="D4029" s="348"/>
    </row>
    <row r="4030" spans="4:4" x14ac:dyDescent="0.3">
      <c r="D4030" s="348"/>
    </row>
    <row r="4031" spans="4:4" x14ac:dyDescent="0.3">
      <c r="D4031" s="348"/>
    </row>
    <row r="4032" spans="4:4" x14ac:dyDescent="0.3">
      <c r="D4032" s="348"/>
    </row>
    <row r="4033" spans="4:4" x14ac:dyDescent="0.3">
      <c r="D4033" s="348"/>
    </row>
    <row r="4034" spans="4:4" x14ac:dyDescent="0.3">
      <c r="D4034" s="348"/>
    </row>
    <row r="4035" spans="4:4" x14ac:dyDescent="0.3">
      <c r="D4035" s="348"/>
    </row>
    <row r="4036" spans="4:4" x14ac:dyDescent="0.3">
      <c r="D4036" s="348"/>
    </row>
    <row r="4037" spans="4:4" x14ac:dyDescent="0.3">
      <c r="D4037" s="348"/>
    </row>
    <row r="4038" spans="4:4" x14ac:dyDescent="0.3">
      <c r="D4038" s="348"/>
    </row>
    <row r="4039" spans="4:4" x14ac:dyDescent="0.3">
      <c r="D4039" s="348"/>
    </row>
    <row r="4040" spans="4:4" x14ac:dyDescent="0.3">
      <c r="D4040" s="348"/>
    </row>
    <row r="4041" spans="4:4" x14ac:dyDescent="0.3">
      <c r="D4041" s="348"/>
    </row>
    <row r="4042" spans="4:4" x14ac:dyDescent="0.3">
      <c r="D4042" s="348"/>
    </row>
    <row r="4043" spans="4:4" x14ac:dyDescent="0.3">
      <c r="D4043" s="348"/>
    </row>
    <row r="4044" spans="4:4" x14ac:dyDescent="0.3">
      <c r="D4044" s="348"/>
    </row>
    <row r="4045" spans="4:4" x14ac:dyDescent="0.3">
      <c r="D4045" s="348"/>
    </row>
    <row r="4046" spans="4:4" x14ac:dyDescent="0.3">
      <c r="D4046" s="348"/>
    </row>
    <row r="4047" spans="4:4" x14ac:dyDescent="0.3">
      <c r="D4047" s="348"/>
    </row>
    <row r="4048" spans="4:4" x14ac:dyDescent="0.3">
      <c r="D4048" s="348"/>
    </row>
    <row r="4049" spans="4:4" x14ac:dyDescent="0.3">
      <c r="D4049" s="348"/>
    </row>
    <row r="4050" spans="4:4" x14ac:dyDescent="0.3">
      <c r="D4050" s="348"/>
    </row>
    <row r="4051" spans="4:4" x14ac:dyDescent="0.3">
      <c r="D4051" s="348"/>
    </row>
    <row r="4052" spans="4:4" x14ac:dyDescent="0.3">
      <c r="D4052" s="348"/>
    </row>
    <row r="4053" spans="4:4" x14ac:dyDescent="0.3">
      <c r="D4053" s="348"/>
    </row>
    <row r="4054" spans="4:4" x14ac:dyDescent="0.3">
      <c r="D4054" s="348"/>
    </row>
    <row r="4055" spans="4:4" x14ac:dyDescent="0.3">
      <c r="D4055" s="348"/>
    </row>
    <row r="4056" spans="4:4" x14ac:dyDescent="0.3">
      <c r="D4056" s="348"/>
    </row>
    <row r="4057" spans="4:4" x14ac:dyDescent="0.3">
      <c r="D4057" s="348"/>
    </row>
    <row r="4058" spans="4:4" x14ac:dyDescent="0.3">
      <c r="D4058" s="348"/>
    </row>
    <row r="4059" spans="4:4" x14ac:dyDescent="0.3">
      <c r="D4059" s="348"/>
    </row>
    <row r="4060" spans="4:4" x14ac:dyDescent="0.3">
      <c r="D4060" s="348"/>
    </row>
    <row r="4061" spans="4:4" x14ac:dyDescent="0.3">
      <c r="D4061" s="348"/>
    </row>
    <row r="4062" spans="4:4" x14ac:dyDescent="0.3">
      <c r="D4062" s="348"/>
    </row>
    <row r="4063" spans="4:4" x14ac:dyDescent="0.3">
      <c r="D4063" s="348"/>
    </row>
    <row r="4064" spans="4:4" x14ac:dyDescent="0.3">
      <c r="D4064" s="348"/>
    </row>
    <row r="4065" spans="4:4" x14ac:dyDescent="0.3">
      <c r="D4065" s="348"/>
    </row>
    <row r="4066" spans="4:4" x14ac:dyDescent="0.3">
      <c r="D4066" s="348"/>
    </row>
    <row r="4067" spans="4:4" x14ac:dyDescent="0.3">
      <c r="D4067" s="348"/>
    </row>
    <row r="4068" spans="4:4" x14ac:dyDescent="0.3">
      <c r="D4068" s="348"/>
    </row>
    <row r="4069" spans="4:4" x14ac:dyDescent="0.3">
      <c r="D4069" s="348"/>
    </row>
    <row r="4070" spans="4:4" x14ac:dyDescent="0.3">
      <c r="D4070" s="348"/>
    </row>
    <row r="4071" spans="4:4" x14ac:dyDescent="0.3">
      <c r="D4071" s="348"/>
    </row>
    <row r="4072" spans="4:4" x14ac:dyDescent="0.3">
      <c r="D4072" s="348"/>
    </row>
    <row r="4073" spans="4:4" x14ac:dyDescent="0.3">
      <c r="D4073" s="348"/>
    </row>
    <row r="4074" spans="4:4" x14ac:dyDescent="0.3">
      <c r="D4074" s="348"/>
    </row>
    <row r="4075" spans="4:4" x14ac:dyDescent="0.3">
      <c r="D4075" s="348"/>
    </row>
    <row r="4076" spans="4:4" x14ac:dyDescent="0.3">
      <c r="D4076" s="348"/>
    </row>
    <row r="4077" spans="4:4" x14ac:dyDescent="0.3">
      <c r="D4077" s="348"/>
    </row>
    <row r="4078" spans="4:4" x14ac:dyDescent="0.3">
      <c r="D4078" s="348"/>
    </row>
    <row r="4079" spans="4:4" x14ac:dyDescent="0.3">
      <c r="D4079" s="348"/>
    </row>
    <row r="4080" spans="4:4" x14ac:dyDescent="0.3">
      <c r="D4080" s="348"/>
    </row>
    <row r="4081" spans="4:4" x14ac:dyDescent="0.3">
      <c r="D4081" s="348"/>
    </row>
    <row r="4082" spans="4:4" x14ac:dyDescent="0.3">
      <c r="D4082" s="348"/>
    </row>
    <row r="4083" spans="4:4" x14ac:dyDescent="0.3">
      <c r="D4083" s="348"/>
    </row>
    <row r="4084" spans="4:4" x14ac:dyDescent="0.3">
      <c r="D4084" s="348"/>
    </row>
    <row r="4085" spans="4:4" x14ac:dyDescent="0.3">
      <c r="D4085" s="348"/>
    </row>
    <row r="4086" spans="4:4" x14ac:dyDescent="0.3">
      <c r="D4086" s="348"/>
    </row>
    <row r="4087" spans="4:4" x14ac:dyDescent="0.3">
      <c r="D4087" s="348"/>
    </row>
    <row r="4088" spans="4:4" x14ac:dyDescent="0.3">
      <c r="D4088" s="348"/>
    </row>
    <row r="4089" spans="4:4" x14ac:dyDescent="0.3">
      <c r="D4089" s="348"/>
    </row>
    <row r="4090" spans="4:4" x14ac:dyDescent="0.3">
      <c r="D4090" s="348"/>
    </row>
    <row r="4091" spans="4:4" x14ac:dyDescent="0.3">
      <c r="D4091" s="348"/>
    </row>
    <row r="4092" spans="4:4" x14ac:dyDescent="0.3">
      <c r="D4092" s="348"/>
    </row>
    <row r="4093" spans="4:4" x14ac:dyDescent="0.3">
      <c r="D4093" s="348"/>
    </row>
    <row r="4094" spans="4:4" x14ac:dyDescent="0.3">
      <c r="D4094" s="348"/>
    </row>
    <row r="4095" spans="4:4" x14ac:dyDescent="0.3">
      <c r="D4095" s="348"/>
    </row>
    <row r="4096" spans="4:4" x14ac:dyDescent="0.3">
      <c r="D4096" s="348"/>
    </row>
    <row r="4097" spans="4:4" x14ac:dyDescent="0.3">
      <c r="D4097" s="348"/>
    </row>
    <row r="4098" spans="4:4" x14ac:dyDescent="0.3">
      <c r="D4098" s="348"/>
    </row>
    <row r="4099" spans="4:4" x14ac:dyDescent="0.3">
      <c r="D4099" s="348"/>
    </row>
    <row r="4100" spans="4:4" x14ac:dyDescent="0.3">
      <c r="D4100" s="348"/>
    </row>
    <row r="4101" spans="4:4" x14ac:dyDescent="0.3">
      <c r="D4101" s="348"/>
    </row>
    <row r="4102" spans="4:4" x14ac:dyDescent="0.3">
      <c r="D4102" s="348"/>
    </row>
    <row r="4103" spans="4:4" x14ac:dyDescent="0.3">
      <c r="D4103" s="348"/>
    </row>
    <row r="4104" spans="4:4" x14ac:dyDescent="0.3">
      <c r="D4104" s="348"/>
    </row>
    <row r="4105" spans="4:4" x14ac:dyDescent="0.3">
      <c r="D4105" s="348"/>
    </row>
    <row r="4106" spans="4:4" x14ac:dyDescent="0.3">
      <c r="D4106" s="348"/>
    </row>
    <row r="4107" spans="4:4" x14ac:dyDescent="0.3">
      <c r="D4107" s="348"/>
    </row>
    <row r="4108" spans="4:4" x14ac:dyDescent="0.3">
      <c r="D4108" s="348"/>
    </row>
    <row r="4109" spans="4:4" x14ac:dyDescent="0.3">
      <c r="D4109" s="348"/>
    </row>
    <row r="4110" spans="4:4" x14ac:dyDescent="0.3">
      <c r="D4110" s="348"/>
    </row>
    <row r="4111" spans="4:4" x14ac:dyDescent="0.3">
      <c r="D4111" s="348"/>
    </row>
    <row r="4112" spans="4:4" x14ac:dyDescent="0.3">
      <c r="D4112" s="348"/>
    </row>
    <row r="4113" spans="4:4" x14ac:dyDescent="0.3">
      <c r="D4113" s="348"/>
    </row>
    <row r="4114" spans="4:4" x14ac:dyDescent="0.3">
      <c r="D4114" s="348"/>
    </row>
    <row r="4115" spans="4:4" x14ac:dyDescent="0.3">
      <c r="D4115" s="348"/>
    </row>
    <row r="4116" spans="4:4" x14ac:dyDescent="0.3">
      <c r="D4116" s="348"/>
    </row>
    <row r="4117" spans="4:4" x14ac:dyDescent="0.3">
      <c r="D4117" s="348"/>
    </row>
    <row r="4118" spans="4:4" x14ac:dyDescent="0.3">
      <c r="D4118" s="348"/>
    </row>
    <row r="4119" spans="4:4" x14ac:dyDescent="0.3">
      <c r="D4119" s="348"/>
    </row>
    <row r="4120" spans="4:4" x14ac:dyDescent="0.3">
      <c r="D4120" s="348"/>
    </row>
    <row r="4121" spans="4:4" x14ac:dyDescent="0.3">
      <c r="D4121" s="348"/>
    </row>
    <row r="4122" spans="4:4" x14ac:dyDescent="0.3">
      <c r="D4122" s="348"/>
    </row>
    <row r="4123" spans="4:4" x14ac:dyDescent="0.3">
      <c r="D4123" s="348"/>
    </row>
    <row r="4124" spans="4:4" x14ac:dyDescent="0.3">
      <c r="D4124" s="348"/>
    </row>
    <row r="4125" spans="4:4" x14ac:dyDescent="0.3">
      <c r="D4125" s="348"/>
    </row>
    <row r="4126" spans="4:4" x14ac:dyDescent="0.3">
      <c r="D4126" s="348"/>
    </row>
    <row r="4127" spans="4:4" x14ac:dyDescent="0.3">
      <c r="D4127" s="348"/>
    </row>
    <row r="4128" spans="4:4" x14ac:dyDescent="0.3">
      <c r="D4128" s="348"/>
    </row>
    <row r="4129" spans="4:4" x14ac:dyDescent="0.3">
      <c r="D4129" s="348"/>
    </row>
    <row r="4130" spans="4:4" x14ac:dyDescent="0.3">
      <c r="D4130" s="348"/>
    </row>
    <row r="4131" spans="4:4" x14ac:dyDescent="0.3">
      <c r="D4131" s="348"/>
    </row>
    <row r="4132" spans="4:4" x14ac:dyDescent="0.3">
      <c r="D4132" s="348"/>
    </row>
    <row r="4133" spans="4:4" x14ac:dyDescent="0.3">
      <c r="D4133" s="348"/>
    </row>
    <row r="4134" spans="4:4" x14ac:dyDescent="0.3">
      <c r="D4134" s="348"/>
    </row>
    <row r="4135" spans="4:4" x14ac:dyDescent="0.3">
      <c r="D4135" s="348"/>
    </row>
    <row r="4136" spans="4:4" x14ac:dyDescent="0.3">
      <c r="D4136" s="348"/>
    </row>
    <row r="4137" spans="4:4" x14ac:dyDescent="0.3">
      <c r="D4137" s="348"/>
    </row>
    <row r="4138" spans="4:4" x14ac:dyDescent="0.3">
      <c r="D4138" s="348"/>
    </row>
    <row r="4139" spans="4:4" x14ac:dyDescent="0.3">
      <c r="D4139" s="348"/>
    </row>
    <row r="4140" spans="4:4" x14ac:dyDescent="0.3">
      <c r="D4140" s="348"/>
    </row>
    <row r="4141" spans="4:4" x14ac:dyDescent="0.3">
      <c r="D4141" s="348"/>
    </row>
    <row r="4142" spans="4:4" x14ac:dyDescent="0.3">
      <c r="D4142" s="348"/>
    </row>
    <row r="4143" spans="4:4" x14ac:dyDescent="0.3">
      <c r="D4143" s="348"/>
    </row>
    <row r="4144" spans="4:4" x14ac:dyDescent="0.3">
      <c r="D4144" s="348"/>
    </row>
    <row r="4145" spans="4:4" x14ac:dyDescent="0.3">
      <c r="D4145" s="348"/>
    </row>
    <row r="4146" spans="4:4" x14ac:dyDescent="0.3">
      <c r="D4146" s="348"/>
    </row>
    <row r="4147" spans="4:4" x14ac:dyDescent="0.3">
      <c r="D4147" s="348"/>
    </row>
    <row r="4148" spans="4:4" x14ac:dyDescent="0.3">
      <c r="D4148" s="348"/>
    </row>
    <row r="4149" spans="4:4" x14ac:dyDescent="0.3">
      <c r="D4149" s="348"/>
    </row>
    <row r="4150" spans="4:4" x14ac:dyDescent="0.3">
      <c r="D4150" s="348"/>
    </row>
    <row r="4151" spans="4:4" x14ac:dyDescent="0.3">
      <c r="D4151" s="348"/>
    </row>
    <row r="4152" spans="4:4" x14ac:dyDescent="0.3">
      <c r="D4152" s="348"/>
    </row>
    <row r="4153" spans="4:4" x14ac:dyDescent="0.3">
      <c r="D4153" s="348"/>
    </row>
    <row r="4154" spans="4:4" x14ac:dyDescent="0.3">
      <c r="D4154" s="348"/>
    </row>
    <row r="4155" spans="4:4" x14ac:dyDescent="0.3">
      <c r="D4155" s="348"/>
    </row>
    <row r="4156" spans="4:4" x14ac:dyDescent="0.3">
      <c r="D4156" s="348"/>
    </row>
    <row r="4157" spans="4:4" x14ac:dyDescent="0.3">
      <c r="D4157" s="348"/>
    </row>
    <row r="4158" spans="4:4" x14ac:dyDescent="0.3">
      <c r="D4158" s="348"/>
    </row>
    <row r="4159" spans="4:4" x14ac:dyDescent="0.3">
      <c r="D4159" s="348"/>
    </row>
    <row r="4160" spans="4:4" x14ac:dyDescent="0.3">
      <c r="D4160" s="348"/>
    </row>
    <row r="4161" spans="4:4" x14ac:dyDescent="0.3">
      <c r="D4161" s="348"/>
    </row>
    <row r="4162" spans="4:4" x14ac:dyDescent="0.3">
      <c r="D4162" s="348"/>
    </row>
    <row r="4163" spans="4:4" x14ac:dyDescent="0.3">
      <c r="D4163" s="348"/>
    </row>
    <row r="4164" spans="4:4" x14ac:dyDescent="0.3">
      <c r="D4164" s="348"/>
    </row>
    <row r="4165" spans="4:4" x14ac:dyDescent="0.3">
      <c r="D4165" s="348"/>
    </row>
    <row r="4166" spans="4:4" x14ac:dyDescent="0.3">
      <c r="D4166" s="348"/>
    </row>
    <row r="4167" spans="4:4" x14ac:dyDescent="0.3">
      <c r="D4167" s="348"/>
    </row>
    <row r="4168" spans="4:4" x14ac:dyDescent="0.3">
      <c r="D4168" s="348"/>
    </row>
    <row r="4169" spans="4:4" x14ac:dyDescent="0.3">
      <c r="D4169" s="348"/>
    </row>
    <row r="4170" spans="4:4" x14ac:dyDescent="0.3">
      <c r="D4170" s="348"/>
    </row>
    <row r="4171" spans="4:4" x14ac:dyDescent="0.3">
      <c r="D4171" s="348"/>
    </row>
    <row r="4172" spans="4:4" x14ac:dyDescent="0.3">
      <c r="D4172" s="348"/>
    </row>
    <row r="4173" spans="4:4" x14ac:dyDescent="0.3">
      <c r="D4173" s="348"/>
    </row>
    <row r="4174" spans="4:4" x14ac:dyDescent="0.3">
      <c r="D4174" s="348"/>
    </row>
    <row r="4175" spans="4:4" x14ac:dyDescent="0.3">
      <c r="D4175" s="348"/>
    </row>
    <row r="4176" spans="4:4" x14ac:dyDescent="0.3">
      <c r="D4176" s="348"/>
    </row>
    <row r="4177" spans="4:4" x14ac:dyDescent="0.3">
      <c r="D4177" s="348"/>
    </row>
    <row r="4178" spans="4:4" x14ac:dyDescent="0.3">
      <c r="D4178" s="348"/>
    </row>
    <row r="4179" spans="4:4" x14ac:dyDescent="0.3">
      <c r="D4179" s="348"/>
    </row>
    <row r="4180" spans="4:4" x14ac:dyDescent="0.3">
      <c r="D4180" s="348"/>
    </row>
    <row r="4181" spans="4:4" x14ac:dyDescent="0.3">
      <c r="D4181" s="348"/>
    </row>
    <row r="4182" spans="4:4" x14ac:dyDescent="0.3">
      <c r="D4182" s="348"/>
    </row>
    <row r="4183" spans="4:4" x14ac:dyDescent="0.3">
      <c r="D4183" s="348"/>
    </row>
    <row r="4184" spans="4:4" x14ac:dyDescent="0.3">
      <c r="D4184" s="348"/>
    </row>
    <row r="4185" spans="4:4" x14ac:dyDescent="0.3">
      <c r="D4185" s="348"/>
    </row>
    <row r="4186" spans="4:4" x14ac:dyDescent="0.3">
      <c r="D4186" s="348"/>
    </row>
    <row r="4187" spans="4:4" x14ac:dyDescent="0.3">
      <c r="D4187" s="348"/>
    </row>
    <row r="4188" spans="4:4" x14ac:dyDescent="0.3">
      <c r="D4188" s="348"/>
    </row>
    <row r="4189" spans="4:4" x14ac:dyDescent="0.3">
      <c r="D4189" s="348"/>
    </row>
    <row r="4190" spans="4:4" x14ac:dyDescent="0.3">
      <c r="D4190" s="348"/>
    </row>
    <row r="4191" spans="4:4" x14ac:dyDescent="0.3">
      <c r="D4191" s="348"/>
    </row>
    <row r="4192" spans="4:4" x14ac:dyDescent="0.3">
      <c r="D4192" s="348"/>
    </row>
    <row r="4193" spans="4:4" x14ac:dyDescent="0.3">
      <c r="D4193" s="348"/>
    </row>
    <row r="4194" spans="4:4" x14ac:dyDescent="0.3">
      <c r="D4194" s="348"/>
    </row>
    <row r="4195" spans="4:4" x14ac:dyDescent="0.3">
      <c r="D4195" s="348"/>
    </row>
    <row r="4196" spans="4:4" x14ac:dyDescent="0.3">
      <c r="D4196" s="348"/>
    </row>
    <row r="4197" spans="4:4" x14ac:dyDescent="0.3">
      <c r="D4197" s="348"/>
    </row>
    <row r="4198" spans="4:4" x14ac:dyDescent="0.3">
      <c r="D4198" s="348"/>
    </row>
    <row r="4199" spans="4:4" x14ac:dyDescent="0.3">
      <c r="D4199" s="348"/>
    </row>
    <row r="4200" spans="4:4" x14ac:dyDescent="0.3">
      <c r="D4200" s="348"/>
    </row>
    <row r="4201" spans="4:4" x14ac:dyDescent="0.3">
      <c r="D4201" s="348"/>
    </row>
    <row r="4202" spans="4:4" x14ac:dyDescent="0.3">
      <c r="D4202" s="348"/>
    </row>
    <row r="4203" spans="4:4" x14ac:dyDescent="0.3">
      <c r="D4203" s="348"/>
    </row>
    <row r="4204" spans="4:4" x14ac:dyDescent="0.3">
      <c r="D4204" s="348"/>
    </row>
    <row r="4205" spans="4:4" x14ac:dyDescent="0.3">
      <c r="D4205" s="348"/>
    </row>
    <row r="4206" spans="4:4" x14ac:dyDescent="0.3">
      <c r="D4206" s="348"/>
    </row>
    <row r="4207" spans="4:4" x14ac:dyDescent="0.3">
      <c r="D4207" s="348"/>
    </row>
    <row r="4208" spans="4:4" x14ac:dyDescent="0.3">
      <c r="D4208" s="348"/>
    </row>
    <row r="4209" spans="4:4" x14ac:dyDescent="0.3">
      <c r="D4209" s="348"/>
    </row>
    <row r="4210" spans="4:4" x14ac:dyDescent="0.3">
      <c r="D4210" s="348"/>
    </row>
    <row r="4211" spans="4:4" x14ac:dyDescent="0.3">
      <c r="D4211" s="348"/>
    </row>
    <row r="4212" spans="4:4" x14ac:dyDescent="0.3">
      <c r="D4212" s="348"/>
    </row>
    <row r="4213" spans="4:4" x14ac:dyDescent="0.3">
      <c r="D4213" s="348"/>
    </row>
    <row r="4214" spans="4:4" x14ac:dyDescent="0.3">
      <c r="D4214" s="348"/>
    </row>
    <row r="4215" spans="4:4" x14ac:dyDescent="0.3">
      <c r="D4215" s="348"/>
    </row>
    <row r="4216" spans="4:4" x14ac:dyDescent="0.3">
      <c r="D4216" s="348"/>
    </row>
    <row r="4217" spans="4:4" x14ac:dyDescent="0.3">
      <c r="D4217" s="348"/>
    </row>
    <row r="4218" spans="4:4" x14ac:dyDescent="0.3">
      <c r="D4218" s="348"/>
    </row>
    <row r="4219" spans="4:4" x14ac:dyDescent="0.3">
      <c r="D4219" s="348"/>
    </row>
    <row r="4220" spans="4:4" x14ac:dyDescent="0.3">
      <c r="D4220" s="348"/>
    </row>
    <row r="4221" spans="4:4" x14ac:dyDescent="0.3">
      <c r="D4221" s="348"/>
    </row>
    <row r="4222" spans="4:4" x14ac:dyDescent="0.3">
      <c r="D4222" s="348"/>
    </row>
    <row r="4223" spans="4:4" x14ac:dyDescent="0.3">
      <c r="D4223" s="348"/>
    </row>
    <row r="4224" spans="4:4" x14ac:dyDescent="0.3">
      <c r="D4224" s="348"/>
    </row>
    <row r="4225" spans="4:4" x14ac:dyDescent="0.3">
      <c r="D4225" s="348"/>
    </row>
    <row r="4226" spans="4:4" x14ac:dyDescent="0.3">
      <c r="D4226" s="348"/>
    </row>
    <row r="4227" spans="4:4" x14ac:dyDescent="0.3">
      <c r="D4227" s="348"/>
    </row>
    <row r="4228" spans="4:4" x14ac:dyDescent="0.3">
      <c r="D4228" s="348"/>
    </row>
    <row r="4229" spans="4:4" x14ac:dyDescent="0.3">
      <c r="D4229" s="348"/>
    </row>
    <row r="4230" spans="4:4" x14ac:dyDescent="0.3">
      <c r="D4230" s="348"/>
    </row>
    <row r="4231" spans="4:4" x14ac:dyDescent="0.3">
      <c r="D4231" s="348"/>
    </row>
    <row r="4232" spans="4:4" x14ac:dyDescent="0.3">
      <c r="D4232" s="348"/>
    </row>
    <row r="4233" spans="4:4" x14ac:dyDescent="0.3">
      <c r="D4233" s="348"/>
    </row>
    <row r="4234" spans="4:4" x14ac:dyDescent="0.3">
      <c r="D4234" s="348"/>
    </row>
    <row r="4235" spans="4:4" x14ac:dyDescent="0.3">
      <c r="D4235" s="348"/>
    </row>
    <row r="4236" spans="4:4" x14ac:dyDescent="0.3">
      <c r="D4236" s="348"/>
    </row>
    <row r="4237" spans="4:4" x14ac:dyDescent="0.3">
      <c r="D4237" s="348"/>
    </row>
    <row r="4238" spans="4:4" x14ac:dyDescent="0.3">
      <c r="D4238" s="348"/>
    </row>
    <row r="4239" spans="4:4" x14ac:dyDescent="0.3">
      <c r="D4239" s="348"/>
    </row>
    <row r="4240" spans="4:4" x14ac:dyDescent="0.3">
      <c r="D4240" s="348"/>
    </row>
    <row r="4241" spans="4:4" x14ac:dyDescent="0.3">
      <c r="D4241" s="348"/>
    </row>
    <row r="4242" spans="4:4" x14ac:dyDescent="0.3">
      <c r="D4242" s="348"/>
    </row>
    <row r="4243" spans="4:4" x14ac:dyDescent="0.3">
      <c r="D4243" s="348"/>
    </row>
    <row r="4244" spans="4:4" x14ac:dyDescent="0.3">
      <c r="D4244" s="348"/>
    </row>
    <row r="4245" spans="4:4" x14ac:dyDescent="0.3">
      <c r="D4245" s="348"/>
    </row>
    <row r="4246" spans="4:4" x14ac:dyDescent="0.3">
      <c r="D4246" s="348"/>
    </row>
    <row r="4247" spans="4:4" x14ac:dyDescent="0.3">
      <c r="D4247" s="348"/>
    </row>
    <row r="4248" spans="4:4" x14ac:dyDescent="0.3">
      <c r="D4248" s="348"/>
    </row>
    <row r="4249" spans="4:4" x14ac:dyDescent="0.3">
      <c r="D4249" s="348"/>
    </row>
    <row r="4250" spans="4:4" x14ac:dyDescent="0.3">
      <c r="D4250" s="348"/>
    </row>
    <row r="4251" spans="4:4" x14ac:dyDescent="0.3">
      <c r="D4251" s="348"/>
    </row>
    <row r="4252" spans="4:4" x14ac:dyDescent="0.3">
      <c r="D4252" s="348"/>
    </row>
    <row r="4253" spans="4:4" x14ac:dyDescent="0.3">
      <c r="D4253" s="348"/>
    </row>
    <row r="4254" spans="4:4" x14ac:dyDescent="0.3">
      <c r="D4254" s="348"/>
    </row>
    <row r="4255" spans="4:4" x14ac:dyDescent="0.3">
      <c r="D4255" s="348"/>
    </row>
    <row r="4256" spans="4:4" x14ac:dyDescent="0.3">
      <c r="D4256" s="348"/>
    </row>
    <row r="4257" spans="4:4" x14ac:dyDescent="0.3">
      <c r="D4257" s="348"/>
    </row>
    <row r="4258" spans="4:4" x14ac:dyDescent="0.3">
      <c r="D4258" s="348"/>
    </row>
    <row r="4259" spans="4:4" x14ac:dyDescent="0.3">
      <c r="D4259" s="348"/>
    </row>
    <row r="4260" spans="4:4" x14ac:dyDescent="0.3">
      <c r="D4260" s="348"/>
    </row>
    <row r="4261" spans="4:4" x14ac:dyDescent="0.3">
      <c r="D4261" s="348"/>
    </row>
    <row r="4262" spans="4:4" x14ac:dyDescent="0.3">
      <c r="D4262" s="348"/>
    </row>
    <row r="4263" spans="4:4" x14ac:dyDescent="0.3">
      <c r="D4263" s="348"/>
    </row>
    <row r="4264" spans="4:4" x14ac:dyDescent="0.3">
      <c r="D4264" s="348"/>
    </row>
    <row r="4265" spans="4:4" x14ac:dyDescent="0.3">
      <c r="D4265" s="348"/>
    </row>
    <row r="4266" spans="4:4" x14ac:dyDescent="0.3">
      <c r="D4266" s="348"/>
    </row>
    <row r="4267" spans="4:4" x14ac:dyDescent="0.3">
      <c r="D4267" s="348"/>
    </row>
    <row r="4268" spans="4:4" x14ac:dyDescent="0.3">
      <c r="D4268" s="348"/>
    </row>
    <row r="4269" spans="4:4" x14ac:dyDescent="0.3">
      <c r="D4269" s="348"/>
    </row>
    <row r="4270" spans="4:4" x14ac:dyDescent="0.3">
      <c r="D4270" s="348"/>
    </row>
    <row r="4271" spans="4:4" x14ac:dyDescent="0.3">
      <c r="D4271" s="348"/>
    </row>
    <row r="4272" spans="4:4" x14ac:dyDescent="0.3">
      <c r="D4272" s="348"/>
    </row>
    <row r="4273" spans="4:4" x14ac:dyDescent="0.3">
      <c r="D4273" s="348"/>
    </row>
    <row r="4274" spans="4:4" x14ac:dyDescent="0.3">
      <c r="D4274" s="348"/>
    </row>
    <row r="4275" spans="4:4" x14ac:dyDescent="0.3">
      <c r="D4275" s="348"/>
    </row>
    <row r="4276" spans="4:4" x14ac:dyDescent="0.3">
      <c r="D4276" s="348"/>
    </row>
    <row r="4277" spans="4:4" x14ac:dyDescent="0.3">
      <c r="D4277" s="348"/>
    </row>
    <row r="4278" spans="4:4" x14ac:dyDescent="0.3">
      <c r="D4278" s="348"/>
    </row>
    <row r="4279" spans="4:4" x14ac:dyDescent="0.3">
      <c r="D4279" s="348"/>
    </row>
    <row r="4280" spans="4:4" x14ac:dyDescent="0.3">
      <c r="D4280" s="348"/>
    </row>
    <row r="4281" spans="4:4" x14ac:dyDescent="0.3">
      <c r="D4281" s="348"/>
    </row>
    <row r="4282" spans="4:4" x14ac:dyDescent="0.3">
      <c r="D4282" s="348"/>
    </row>
    <row r="4283" spans="4:4" x14ac:dyDescent="0.3">
      <c r="D4283" s="348"/>
    </row>
    <row r="4284" spans="4:4" x14ac:dyDescent="0.3">
      <c r="D4284" s="348"/>
    </row>
    <row r="4285" spans="4:4" x14ac:dyDescent="0.3">
      <c r="D4285" s="348"/>
    </row>
    <row r="4286" spans="4:4" x14ac:dyDescent="0.3">
      <c r="D4286" s="348"/>
    </row>
    <row r="4287" spans="4:4" x14ac:dyDescent="0.3">
      <c r="D4287" s="348"/>
    </row>
    <row r="4288" spans="4:4" x14ac:dyDescent="0.3">
      <c r="D4288" s="348"/>
    </row>
    <row r="4289" spans="4:4" x14ac:dyDescent="0.3">
      <c r="D4289" s="348"/>
    </row>
    <row r="4290" spans="4:4" x14ac:dyDescent="0.3">
      <c r="D4290" s="348"/>
    </row>
    <row r="4291" spans="4:4" x14ac:dyDescent="0.3">
      <c r="D4291" s="348"/>
    </row>
    <row r="4292" spans="4:4" x14ac:dyDescent="0.3">
      <c r="D4292" s="348"/>
    </row>
    <row r="4293" spans="4:4" x14ac:dyDescent="0.3">
      <c r="D4293" s="348"/>
    </row>
    <row r="4294" spans="4:4" x14ac:dyDescent="0.3">
      <c r="D4294" s="348"/>
    </row>
    <row r="4295" spans="4:4" x14ac:dyDescent="0.3">
      <c r="D4295" s="348"/>
    </row>
    <row r="4296" spans="4:4" x14ac:dyDescent="0.3">
      <c r="D4296" s="348"/>
    </row>
    <row r="4297" spans="4:4" x14ac:dyDescent="0.3">
      <c r="D4297" s="348"/>
    </row>
    <row r="4298" spans="4:4" x14ac:dyDescent="0.3">
      <c r="D4298" s="348"/>
    </row>
    <row r="4299" spans="4:4" x14ac:dyDescent="0.3">
      <c r="D4299" s="348"/>
    </row>
    <row r="4300" spans="4:4" x14ac:dyDescent="0.3">
      <c r="D4300" s="348"/>
    </row>
    <row r="4301" spans="4:4" x14ac:dyDescent="0.3">
      <c r="D4301" s="348"/>
    </row>
    <row r="4302" spans="4:4" x14ac:dyDescent="0.3">
      <c r="D4302" s="348"/>
    </row>
    <row r="4303" spans="4:4" x14ac:dyDescent="0.3">
      <c r="D4303" s="348"/>
    </row>
    <row r="4304" spans="4:4" x14ac:dyDescent="0.3">
      <c r="D4304" s="348"/>
    </row>
    <row r="4305" spans="4:4" x14ac:dyDescent="0.3">
      <c r="D4305" s="348"/>
    </row>
    <row r="4306" spans="4:4" x14ac:dyDescent="0.3">
      <c r="D4306" s="348"/>
    </row>
    <row r="4307" spans="4:4" x14ac:dyDescent="0.3">
      <c r="D4307" s="348"/>
    </row>
    <row r="4308" spans="4:4" x14ac:dyDescent="0.3">
      <c r="D4308" s="348"/>
    </row>
    <row r="4309" spans="4:4" x14ac:dyDescent="0.3">
      <c r="D4309" s="348"/>
    </row>
    <row r="4310" spans="4:4" x14ac:dyDescent="0.3">
      <c r="D4310" s="348"/>
    </row>
    <row r="4311" spans="4:4" x14ac:dyDescent="0.3">
      <c r="D4311" s="348"/>
    </row>
    <row r="4312" spans="4:4" x14ac:dyDescent="0.3">
      <c r="D4312" s="348"/>
    </row>
    <row r="4313" spans="4:4" x14ac:dyDescent="0.3">
      <c r="D4313" s="348"/>
    </row>
    <row r="4314" spans="4:4" x14ac:dyDescent="0.3">
      <c r="D4314" s="348"/>
    </row>
    <row r="4315" spans="4:4" x14ac:dyDescent="0.3">
      <c r="D4315" s="348"/>
    </row>
    <row r="4316" spans="4:4" x14ac:dyDescent="0.3">
      <c r="D4316" s="348"/>
    </row>
    <row r="4317" spans="4:4" x14ac:dyDescent="0.3">
      <c r="D4317" s="348"/>
    </row>
    <row r="4318" spans="4:4" x14ac:dyDescent="0.3">
      <c r="D4318" s="348"/>
    </row>
    <row r="4319" spans="4:4" x14ac:dyDescent="0.3">
      <c r="D4319" s="348"/>
    </row>
    <row r="4320" spans="4:4" x14ac:dyDescent="0.3">
      <c r="D4320" s="348"/>
    </row>
    <row r="4321" spans="4:4" x14ac:dyDescent="0.3">
      <c r="D4321" s="348"/>
    </row>
    <row r="4322" spans="4:4" x14ac:dyDescent="0.3">
      <c r="D4322" s="348"/>
    </row>
    <row r="4323" spans="4:4" x14ac:dyDescent="0.3">
      <c r="D4323" s="348"/>
    </row>
    <row r="4324" spans="4:4" x14ac:dyDescent="0.3">
      <c r="D4324" s="348"/>
    </row>
    <row r="4325" spans="4:4" x14ac:dyDescent="0.3">
      <c r="D4325" s="348"/>
    </row>
    <row r="4326" spans="4:4" x14ac:dyDescent="0.3">
      <c r="D4326" s="348"/>
    </row>
    <row r="4327" spans="4:4" x14ac:dyDescent="0.3">
      <c r="D4327" s="348"/>
    </row>
    <row r="4328" spans="4:4" x14ac:dyDescent="0.3">
      <c r="D4328" s="348"/>
    </row>
    <row r="4329" spans="4:4" x14ac:dyDescent="0.3">
      <c r="D4329" s="348"/>
    </row>
    <row r="4330" spans="4:4" x14ac:dyDescent="0.3">
      <c r="D4330" s="348"/>
    </row>
    <row r="4331" spans="4:4" x14ac:dyDescent="0.3">
      <c r="D4331" s="348"/>
    </row>
    <row r="4332" spans="4:4" x14ac:dyDescent="0.3">
      <c r="D4332" s="348"/>
    </row>
    <row r="4333" spans="4:4" x14ac:dyDescent="0.3">
      <c r="D4333" s="348"/>
    </row>
    <row r="4334" spans="4:4" x14ac:dyDescent="0.3">
      <c r="D4334" s="348"/>
    </row>
    <row r="4335" spans="4:4" x14ac:dyDescent="0.3">
      <c r="D4335" s="348"/>
    </row>
    <row r="4336" spans="4:4" x14ac:dyDescent="0.3">
      <c r="D4336" s="348"/>
    </row>
    <row r="4337" spans="4:4" x14ac:dyDescent="0.3">
      <c r="D4337" s="348"/>
    </row>
    <row r="4338" spans="4:4" x14ac:dyDescent="0.3">
      <c r="D4338" s="348"/>
    </row>
    <row r="4339" spans="4:4" x14ac:dyDescent="0.3">
      <c r="D4339" s="348"/>
    </row>
    <row r="4340" spans="4:4" x14ac:dyDescent="0.3">
      <c r="D4340" s="348"/>
    </row>
    <row r="4341" spans="4:4" x14ac:dyDescent="0.3">
      <c r="D4341" s="348"/>
    </row>
    <row r="4342" spans="4:4" x14ac:dyDescent="0.3">
      <c r="D4342" s="348"/>
    </row>
    <row r="4343" spans="4:4" x14ac:dyDescent="0.3">
      <c r="D4343" s="348"/>
    </row>
    <row r="4344" spans="4:4" x14ac:dyDescent="0.3">
      <c r="D4344" s="348"/>
    </row>
    <row r="4345" spans="4:4" x14ac:dyDescent="0.3">
      <c r="D4345" s="348"/>
    </row>
    <row r="4346" spans="4:4" x14ac:dyDescent="0.3">
      <c r="D4346" s="348"/>
    </row>
    <row r="4347" spans="4:4" x14ac:dyDescent="0.3">
      <c r="D4347" s="348"/>
    </row>
    <row r="4348" spans="4:4" x14ac:dyDescent="0.3">
      <c r="D4348" s="348"/>
    </row>
    <row r="4349" spans="4:4" x14ac:dyDescent="0.3">
      <c r="D4349" s="348"/>
    </row>
    <row r="4350" spans="4:4" x14ac:dyDescent="0.3">
      <c r="D4350" s="348"/>
    </row>
    <row r="4351" spans="4:4" x14ac:dyDescent="0.3">
      <c r="D4351" s="348"/>
    </row>
    <row r="4352" spans="4:4" x14ac:dyDescent="0.3">
      <c r="D4352" s="348"/>
    </row>
    <row r="4353" spans="4:4" x14ac:dyDescent="0.3">
      <c r="D4353" s="348"/>
    </row>
    <row r="4354" spans="4:4" x14ac:dyDescent="0.3">
      <c r="D4354" s="348"/>
    </row>
    <row r="4355" spans="4:4" x14ac:dyDescent="0.3">
      <c r="D4355" s="348"/>
    </row>
    <row r="4356" spans="4:4" x14ac:dyDescent="0.3">
      <c r="D4356" s="348"/>
    </row>
    <row r="4357" spans="4:4" x14ac:dyDescent="0.3">
      <c r="D4357" s="348"/>
    </row>
    <row r="4358" spans="4:4" x14ac:dyDescent="0.3">
      <c r="D4358" s="348"/>
    </row>
    <row r="4359" spans="4:4" x14ac:dyDescent="0.3">
      <c r="D4359" s="348"/>
    </row>
    <row r="4360" spans="4:4" x14ac:dyDescent="0.3">
      <c r="D4360" s="348"/>
    </row>
    <row r="4361" spans="4:4" x14ac:dyDescent="0.3">
      <c r="D4361" s="348"/>
    </row>
    <row r="4362" spans="4:4" x14ac:dyDescent="0.3">
      <c r="D4362" s="348"/>
    </row>
    <row r="4363" spans="4:4" x14ac:dyDescent="0.3">
      <c r="D4363" s="348"/>
    </row>
    <row r="4364" spans="4:4" x14ac:dyDescent="0.3">
      <c r="D4364" s="348"/>
    </row>
    <row r="4365" spans="4:4" x14ac:dyDescent="0.3">
      <c r="D4365" s="348"/>
    </row>
    <row r="4366" spans="4:4" x14ac:dyDescent="0.3">
      <c r="D4366" s="348"/>
    </row>
    <row r="4367" spans="4:4" x14ac:dyDescent="0.3">
      <c r="D4367" s="348"/>
    </row>
    <row r="4368" spans="4:4" x14ac:dyDescent="0.3">
      <c r="D4368" s="348"/>
    </row>
    <row r="4369" spans="4:4" x14ac:dyDescent="0.3">
      <c r="D4369" s="348"/>
    </row>
    <row r="4370" spans="4:4" x14ac:dyDescent="0.3">
      <c r="D4370" s="348"/>
    </row>
    <row r="4371" spans="4:4" x14ac:dyDescent="0.3">
      <c r="D4371" s="348"/>
    </row>
    <row r="4372" spans="4:4" x14ac:dyDescent="0.3">
      <c r="D4372" s="348"/>
    </row>
    <row r="4373" spans="4:4" x14ac:dyDescent="0.3">
      <c r="D4373" s="348"/>
    </row>
    <row r="4374" spans="4:4" x14ac:dyDescent="0.3">
      <c r="D4374" s="348"/>
    </row>
    <row r="4375" spans="4:4" x14ac:dyDescent="0.3">
      <c r="D4375" s="348"/>
    </row>
    <row r="4376" spans="4:4" x14ac:dyDescent="0.3">
      <c r="D4376" s="348"/>
    </row>
    <row r="4377" spans="4:4" x14ac:dyDescent="0.3">
      <c r="D4377" s="348"/>
    </row>
    <row r="4378" spans="4:4" x14ac:dyDescent="0.3">
      <c r="D4378" s="348"/>
    </row>
    <row r="4379" spans="4:4" x14ac:dyDescent="0.3">
      <c r="D4379" s="348"/>
    </row>
    <row r="4380" spans="4:4" x14ac:dyDescent="0.3">
      <c r="D4380" s="348"/>
    </row>
    <row r="4381" spans="4:4" x14ac:dyDescent="0.3">
      <c r="D4381" s="348"/>
    </row>
    <row r="4382" spans="4:4" x14ac:dyDescent="0.3">
      <c r="D4382" s="348"/>
    </row>
    <row r="4383" spans="4:4" x14ac:dyDescent="0.3">
      <c r="D4383" s="348"/>
    </row>
    <row r="4384" spans="4:4" x14ac:dyDescent="0.3">
      <c r="D4384" s="348"/>
    </row>
    <row r="4385" spans="4:4" x14ac:dyDescent="0.3">
      <c r="D4385" s="348"/>
    </row>
    <row r="4386" spans="4:4" x14ac:dyDescent="0.3">
      <c r="D4386" s="348"/>
    </row>
    <row r="4387" spans="4:4" x14ac:dyDescent="0.3">
      <c r="D4387" s="348"/>
    </row>
    <row r="4388" spans="4:4" x14ac:dyDescent="0.3">
      <c r="D4388" s="348"/>
    </row>
    <row r="4389" spans="4:4" x14ac:dyDescent="0.3">
      <c r="D4389" s="348"/>
    </row>
    <row r="4390" spans="4:4" x14ac:dyDescent="0.3">
      <c r="D4390" s="348"/>
    </row>
    <row r="4391" spans="4:4" x14ac:dyDescent="0.3">
      <c r="D4391" s="348"/>
    </row>
    <row r="4392" spans="4:4" x14ac:dyDescent="0.3">
      <c r="D4392" s="348"/>
    </row>
    <row r="4393" spans="4:4" x14ac:dyDescent="0.3">
      <c r="D4393" s="348"/>
    </row>
    <row r="4394" spans="4:4" x14ac:dyDescent="0.3">
      <c r="D4394" s="348"/>
    </row>
    <row r="4395" spans="4:4" x14ac:dyDescent="0.3">
      <c r="D4395" s="348"/>
    </row>
    <row r="4396" spans="4:4" x14ac:dyDescent="0.3">
      <c r="D4396" s="348"/>
    </row>
    <row r="4397" spans="4:4" x14ac:dyDescent="0.3">
      <c r="D4397" s="348"/>
    </row>
    <row r="4398" spans="4:4" x14ac:dyDescent="0.3">
      <c r="D4398" s="348"/>
    </row>
    <row r="4399" spans="4:4" x14ac:dyDescent="0.3">
      <c r="D4399" s="348"/>
    </row>
    <row r="4400" spans="4:4" x14ac:dyDescent="0.3">
      <c r="D4400" s="348"/>
    </row>
    <row r="4401" spans="4:4" x14ac:dyDescent="0.3">
      <c r="D4401" s="348"/>
    </row>
    <row r="4402" spans="4:4" x14ac:dyDescent="0.3">
      <c r="D4402" s="348"/>
    </row>
    <row r="4403" spans="4:4" x14ac:dyDescent="0.3">
      <c r="D4403" s="348"/>
    </row>
    <row r="4404" spans="4:4" x14ac:dyDescent="0.3">
      <c r="D4404" s="348"/>
    </row>
    <row r="4405" spans="4:4" x14ac:dyDescent="0.3">
      <c r="D4405" s="348"/>
    </row>
    <row r="4406" spans="4:4" x14ac:dyDescent="0.3">
      <c r="D4406" s="348"/>
    </row>
    <row r="4407" spans="4:4" x14ac:dyDescent="0.3">
      <c r="D4407" s="348"/>
    </row>
    <row r="4408" spans="4:4" x14ac:dyDescent="0.3">
      <c r="D4408" s="348"/>
    </row>
    <row r="4409" spans="4:4" x14ac:dyDescent="0.3">
      <c r="D4409" s="348"/>
    </row>
    <row r="4410" spans="4:4" x14ac:dyDescent="0.3">
      <c r="D4410" s="348"/>
    </row>
    <row r="4411" spans="4:4" x14ac:dyDescent="0.3">
      <c r="D4411" s="348"/>
    </row>
    <row r="4412" spans="4:4" x14ac:dyDescent="0.3">
      <c r="D4412" s="348"/>
    </row>
    <row r="4413" spans="4:4" x14ac:dyDescent="0.3">
      <c r="D4413" s="348"/>
    </row>
    <row r="4414" spans="4:4" x14ac:dyDescent="0.3">
      <c r="D4414" s="348"/>
    </row>
    <row r="4415" spans="4:4" x14ac:dyDescent="0.3">
      <c r="D4415" s="348"/>
    </row>
    <row r="4416" spans="4:4" x14ac:dyDescent="0.3">
      <c r="D4416" s="348"/>
    </row>
    <row r="4417" spans="4:4" x14ac:dyDescent="0.3">
      <c r="D4417" s="348"/>
    </row>
    <row r="4418" spans="4:4" x14ac:dyDescent="0.3">
      <c r="D4418" s="348"/>
    </row>
    <row r="4419" spans="4:4" x14ac:dyDescent="0.3">
      <c r="D4419" s="348"/>
    </row>
    <row r="4420" spans="4:4" x14ac:dyDescent="0.3">
      <c r="D4420" s="348"/>
    </row>
    <row r="4421" spans="4:4" x14ac:dyDescent="0.3">
      <c r="D4421" s="348"/>
    </row>
    <row r="4422" spans="4:4" x14ac:dyDescent="0.3">
      <c r="D4422" s="348"/>
    </row>
    <row r="4423" spans="4:4" x14ac:dyDescent="0.3">
      <c r="D4423" s="348"/>
    </row>
    <row r="4424" spans="4:4" x14ac:dyDescent="0.3">
      <c r="D4424" s="348"/>
    </row>
    <row r="4425" spans="4:4" x14ac:dyDescent="0.3">
      <c r="D4425" s="348"/>
    </row>
    <row r="4426" spans="4:4" x14ac:dyDescent="0.3">
      <c r="D4426" s="348"/>
    </row>
    <row r="4427" spans="4:4" x14ac:dyDescent="0.3">
      <c r="D4427" s="348"/>
    </row>
    <row r="4428" spans="4:4" x14ac:dyDescent="0.3">
      <c r="D4428" s="348"/>
    </row>
    <row r="4429" spans="4:4" x14ac:dyDescent="0.3">
      <c r="D4429" s="348"/>
    </row>
    <row r="4430" spans="4:4" x14ac:dyDescent="0.3">
      <c r="D4430" s="348"/>
    </row>
    <row r="4431" spans="4:4" x14ac:dyDescent="0.3">
      <c r="D4431" s="348"/>
    </row>
    <row r="4432" spans="4:4" x14ac:dyDescent="0.3">
      <c r="D4432" s="348"/>
    </row>
    <row r="4433" spans="4:4" x14ac:dyDescent="0.3">
      <c r="D4433" s="348"/>
    </row>
    <row r="4434" spans="4:4" x14ac:dyDescent="0.3">
      <c r="D4434" s="348"/>
    </row>
    <row r="4435" spans="4:4" x14ac:dyDescent="0.3">
      <c r="D4435" s="348"/>
    </row>
    <row r="4436" spans="4:4" x14ac:dyDescent="0.3">
      <c r="D4436" s="348"/>
    </row>
    <row r="4437" spans="4:4" x14ac:dyDescent="0.3">
      <c r="D4437" s="348"/>
    </row>
    <row r="4438" spans="4:4" x14ac:dyDescent="0.3">
      <c r="D4438" s="348"/>
    </row>
    <row r="4439" spans="4:4" x14ac:dyDescent="0.3">
      <c r="D4439" s="348"/>
    </row>
    <row r="4440" spans="4:4" x14ac:dyDescent="0.3">
      <c r="D4440" s="348"/>
    </row>
    <row r="4441" spans="4:4" x14ac:dyDescent="0.3">
      <c r="D4441" s="348"/>
    </row>
    <row r="4442" spans="4:4" x14ac:dyDescent="0.3">
      <c r="D4442" s="348"/>
    </row>
    <row r="4443" spans="4:4" x14ac:dyDescent="0.3">
      <c r="D4443" s="348"/>
    </row>
    <row r="4444" spans="4:4" x14ac:dyDescent="0.3">
      <c r="D4444" s="348"/>
    </row>
    <row r="4445" spans="4:4" x14ac:dyDescent="0.3">
      <c r="D4445" s="348"/>
    </row>
    <row r="4446" spans="4:4" x14ac:dyDescent="0.3">
      <c r="D4446" s="348"/>
    </row>
    <row r="4447" spans="4:4" x14ac:dyDescent="0.3">
      <c r="D4447" s="348"/>
    </row>
    <row r="4448" spans="4:4" x14ac:dyDescent="0.3">
      <c r="D4448" s="348"/>
    </row>
    <row r="4449" spans="4:4" x14ac:dyDescent="0.3">
      <c r="D4449" s="348"/>
    </row>
    <row r="4450" spans="4:4" x14ac:dyDescent="0.3">
      <c r="D4450" s="348"/>
    </row>
    <row r="4451" spans="4:4" x14ac:dyDescent="0.3">
      <c r="D4451" s="348"/>
    </row>
    <row r="4452" spans="4:4" x14ac:dyDescent="0.3">
      <c r="D4452" s="348"/>
    </row>
    <row r="4453" spans="4:4" x14ac:dyDescent="0.3">
      <c r="D4453" s="348"/>
    </row>
    <row r="4454" spans="4:4" x14ac:dyDescent="0.3">
      <c r="D4454" s="348"/>
    </row>
    <row r="4455" spans="4:4" x14ac:dyDescent="0.3">
      <c r="D4455" s="348"/>
    </row>
    <row r="4456" spans="4:4" x14ac:dyDescent="0.3">
      <c r="D4456" s="348"/>
    </row>
    <row r="4457" spans="4:4" x14ac:dyDescent="0.3">
      <c r="D4457" s="348"/>
    </row>
    <row r="4458" spans="4:4" x14ac:dyDescent="0.3">
      <c r="D4458" s="348"/>
    </row>
    <row r="4459" spans="4:4" x14ac:dyDescent="0.3">
      <c r="D4459" s="348"/>
    </row>
    <row r="4460" spans="4:4" x14ac:dyDescent="0.3">
      <c r="D4460" s="348"/>
    </row>
    <row r="4461" spans="4:4" x14ac:dyDescent="0.3">
      <c r="D4461" s="348"/>
    </row>
    <row r="4462" spans="4:4" x14ac:dyDescent="0.3">
      <c r="D4462" s="348"/>
    </row>
    <row r="4463" spans="4:4" x14ac:dyDescent="0.3">
      <c r="D4463" s="348"/>
    </row>
    <row r="4464" spans="4:4" x14ac:dyDescent="0.3">
      <c r="D4464" s="348"/>
    </row>
    <row r="4465" spans="4:4" x14ac:dyDescent="0.3">
      <c r="D4465" s="348"/>
    </row>
    <row r="4466" spans="4:4" x14ac:dyDescent="0.3">
      <c r="D4466" s="348"/>
    </row>
    <row r="4467" spans="4:4" x14ac:dyDescent="0.3">
      <c r="D4467" s="348"/>
    </row>
    <row r="4468" spans="4:4" x14ac:dyDescent="0.3">
      <c r="D4468" s="348"/>
    </row>
    <row r="4469" spans="4:4" x14ac:dyDescent="0.3">
      <c r="D4469" s="348"/>
    </row>
    <row r="4470" spans="4:4" x14ac:dyDescent="0.3">
      <c r="D4470" s="348"/>
    </row>
    <row r="4471" spans="4:4" x14ac:dyDescent="0.3">
      <c r="D4471" s="348"/>
    </row>
    <row r="4472" spans="4:4" x14ac:dyDescent="0.3">
      <c r="D4472" s="348"/>
    </row>
    <row r="4473" spans="4:4" x14ac:dyDescent="0.3">
      <c r="D4473" s="348"/>
    </row>
    <row r="4474" spans="4:4" x14ac:dyDescent="0.3">
      <c r="D4474" s="348"/>
    </row>
    <row r="4475" spans="4:4" x14ac:dyDescent="0.3">
      <c r="D4475" s="348"/>
    </row>
    <row r="4476" spans="4:4" x14ac:dyDescent="0.3">
      <c r="D4476" s="348"/>
    </row>
    <row r="4477" spans="4:4" x14ac:dyDescent="0.3">
      <c r="D4477" s="348"/>
    </row>
    <row r="4478" spans="4:4" x14ac:dyDescent="0.3">
      <c r="D4478" s="348"/>
    </row>
    <row r="4479" spans="4:4" x14ac:dyDescent="0.3">
      <c r="D4479" s="348"/>
    </row>
    <row r="4480" spans="4:4" x14ac:dyDescent="0.3">
      <c r="D4480" s="348"/>
    </row>
    <row r="4481" spans="4:4" x14ac:dyDescent="0.3">
      <c r="D4481" s="348"/>
    </row>
    <row r="4482" spans="4:4" x14ac:dyDescent="0.3">
      <c r="D4482" s="348"/>
    </row>
    <row r="4483" spans="4:4" x14ac:dyDescent="0.3">
      <c r="D4483" s="348"/>
    </row>
    <row r="4484" spans="4:4" x14ac:dyDescent="0.3">
      <c r="D4484" s="348"/>
    </row>
    <row r="4485" spans="4:4" x14ac:dyDescent="0.3">
      <c r="D4485" s="348"/>
    </row>
    <row r="4486" spans="4:4" x14ac:dyDescent="0.3">
      <c r="D4486" s="348"/>
    </row>
    <row r="4487" spans="4:4" x14ac:dyDescent="0.3">
      <c r="D4487" s="348"/>
    </row>
    <row r="4488" spans="4:4" x14ac:dyDescent="0.3">
      <c r="D4488" s="348"/>
    </row>
    <row r="4489" spans="4:4" x14ac:dyDescent="0.3">
      <c r="D4489" s="348"/>
    </row>
    <row r="4490" spans="4:4" x14ac:dyDescent="0.3">
      <c r="D4490" s="348"/>
    </row>
    <row r="4491" spans="4:4" x14ac:dyDescent="0.3">
      <c r="D4491" s="348"/>
    </row>
    <row r="4492" spans="4:4" x14ac:dyDescent="0.3">
      <c r="D4492" s="348"/>
    </row>
    <row r="4493" spans="4:4" x14ac:dyDescent="0.3">
      <c r="D4493" s="348"/>
    </row>
    <row r="4494" spans="4:4" x14ac:dyDescent="0.3">
      <c r="D4494" s="348"/>
    </row>
    <row r="4495" spans="4:4" x14ac:dyDescent="0.3">
      <c r="D4495" s="348"/>
    </row>
    <row r="4496" spans="4:4" x14ac:dyDescent="0.3">
      <c r="D4496" s="348"/>
    </row>
    <row r="4497" spans="4:4" x14ac:dyDescent="0.3">
      <c r="D4497" s="348"/>
    </row>
    <row r="4498" spans="4:4" x14ac:dyDescent="0.3">
      <c r="D4498" s="348"/>
    </row>
    <row r="4499" spans="4:4" x14ac:dyDescent="0.3">
      <c r="D4499" s="348"/>
    </row>
    <row r="4500" spans="4:4" x14ac:dyDescent="0.3">
      <c r="D4500" s="348"/>
    </row>
    <row r="4501" spans="4:4" x14ac:dyDescent="0.3">
      <c r="D4501" s="348"/>
    </row>
    <row r="4502" spans="4:4" x14ac:dyDescent="0.3">
      <c r="D4502" s="348"/>
    </row>
    <row r="4503" spans="4:4" x14ac:dyDescent="0.3">
      <c r="D4503" s="348"/>
    </row>
    <row r="4504" spans="4:4" x14ac:dyDescent="0.3">
      <c r="D4504" s="348"/>
    </row>
    <row r="4505" spans="4:4" x14ac:dyDescent="0.3">
      <c r="D4505" s="348"/>
    </row>
    <row r="4506" spans="4:4" x14ac:dyDescent="0.3">
      <c r="D4506" s="348"/>
    </row>
    <row r="4507" spans="4:4" x14ac:dyDescent="0.3">
      <c r="D4507" s="348"/>
    </row>
    <row r="4508" spans="4:4" x14ac:dyDescent="0.3">
      <c r="D4508" s="348"/>
    </row>
    <row r="4509" spans="4:4" x14ac:dyDescent="0.3">
      <c r="D4509" s="348"/>
    </row>
    <row r="4510" spans="4:4" x14ac:dyDescent="0.3">
      <c r="D4510" s="348"/>
    </row>
    <row r="4511" spans="4:4" x14ac:dyDescent="0.3">
      <c r="D4511" s="348"/>
    </row>
    <row r="4512" spans="4:4" x14ac:dyDescent="0.3">
      <c r="D4512" s="348"/>
    </row>
    <row r="4513" spans="4:4" x14ac:dyDescent="0.3">
      <c r="D4513" s="348"/>
    </row>
    <row r="4514" spans="4:4" x14ac:dyDescent="0.3">
      <c r="D4514" s="348"/>
    </row>
    <row r="4515" spans="4:4" x14ac:dyDescent="0.3">
      <c r="D4515" s="348"/>
    </row>
    <row r="4516" spans="4:4" x14ac:dyDescent="0.3">
      <c r="D4516" s="348"/>
    </row>
    <row r="4517" spans="4:4" x14ac:dyDescent="0.3">
      <c r="D4517" s="348"/>
    </row>
    <row r="4518" spans="4:4" x14ac:dyDescent="0.3">
      <c r="D4518" s="348"/>
    </row>
    <row r="4519" spans="4:4" x14ac:dyDescent="0.3">
      <c r="D4519" s="348"/>
    </row>
    <row r="4520" spans="4:4" x14ac:dyDescent="0.3">
      <c r="D4520" s="348"/>
    </row>
    <row r="4521" spans="4:4" x14ac:dyDescent="0.3">
      <c r="D4521" s="348"/>
    </row>
    <row r="4522" spans="4:4" x14ac:dyDescent="0.3">
      <c r="D4522" s="348"/>
    </row>
    <row r="4523" spans="4:4" x14ac:dyDescent="0.3">
      <c r="D4523" s="348"/>
    </row>
    <row r="4524" spans="4:4" x14ac:dyDescent="0.3">
      <c r="D4524" s="348"/>
    </row>
    <row r="4525" spans="4:4" x14ac:dyDescent="0.3">
      <c r="D4525" s="348"/>
    </row>
    <row r="4526" spans="4:4" x14ac:dyDescent="0.3">
      <c r="D4526" s="348"/>
    </row>
    <row r="4527" spans="4:4" x14ac:dyDescent="0.3">
      <c r="D4527" s="348"/>
    </row>
    <row r="4528" spans="4:4" x14ac:dyDescent="0.3">
      <c r="D4528" s="348"/>
    </row>
    <row r="4529" spans="4:4" x14ac:dyDescent="0.3">
      <c r="D4529" s="348"/>
    </row>
    <row r="4530" spans="4:4" x14ac:dyDescent="0.3">
      <c r="D4530" s="348"/>
    </row>
    <row r="4531" spans="4:4" x14ac:dyDescent="0.3">
      <c r="D4531" s="348"/>
    </row>
    <row r="4532" spans="4:4" x14ac:dyDescent="0.3">
      <c r="D4532" s="348"/>
    </row>
    <row r="4533" spans="4:4" x14ac:dyDescent="0.3">
      <c r="D4533" s="348"/>
    </row>
    <row r="4534" spans="4:4" x14ac:dyDescent="0.3">
      <c r="D4534" s="348"/>
    </row>
    <row r="4535" spans="4:4" x14ac:dyDescent="0.3">
      <c r="D4535" s="348"/>
    </row>
    <row r="4536" spans="4:4" x14ac:dyDescent="0.3">
      <c r="D4536" s="348"/>
    </row>
    <row r="4537" spans="4:4" x14ac:dyDescent="0.3">
      <c r="D4537" s="348"/>
    </row>
    <row r="4538" spans="4:4" x14ac:dyDescent="0.3">
      <c r="D4538" s="348"/>
    </row>
    <row r="4539" spans="4:4" x14ac:dyDescent="0.3">
      <c r="D4539" s="348"/>
    </row>
    <row r="4540" spans="4:4" x14ac:dyDescent="0.3">
      <c r="D4540" s="348"/>
    </row>
    <row r="4541" spans="4:4" x14ac:dyDescent="0.3">
      <c r="D4541" s="348"/>
    </row>
    <row r="4542" spans="4:4" x14ac:dyDescent="0.3">
      <c r="D4542" s="348"/>
    </row>
    <row r="4543" spans="4:4" x14ac:dyDescent="0.3">
      <c r="D4543" s="348"/>
    </row>
    <row r="4544" spans="4:4" x14ac:dyDescent="0.3">
      <c r="D4544" s="348"/>
    </row>
    <row r="4545" spans="4:4" x14ac:dyDescent="0.3">
      <c r="D4545" s="348"/>
    </row>
    <row r="4546" spans="4:4" x14ac:dyDescent="0.3">
      <c r="D4546" s="348"/>
    </row>
    <row r="4547" spans="4:4" x14ac:dyDescent="0.3">
      <c r="D4547" s="348"/>
    </row>
    <row r="4548" spans="4:4" x14ac:dyDescent="0.3">
      <c r="D4548" s="348"/>
    </row>
    <row r="4549" spans="4:4" x14ac:dyDescent="0.3">
      <c r="D4549" s="348"/>
    </row>
    <row r="4550" spans="4:4" x14ac:dyDescent="0.3">
      <c r="D4550" s="348"/>
    </row>
    <row r="4551" spans="4:4" x14ac:dyDescent="0.3">
      <c r="D4551" s="348"/>
    </row>
    <row r="4552" spans="4:4" x14ac:dyDescent="0.3">
      <c r="D4552" s="348"/>
    </row>
    <row r="4553" spans="4:4" x14ac:dyDescent="0.3">
      <c r="D4553" s="348"/>
    </row>
    <row r="4554" spans="4:4" x14ac:dyDescent="0.3">
      <c r="D4554" s="348"/>
    </row>
    <row r="4555" spans="4:4" x14ac:dyDescent="0.3">
      <c r="D4555" s="348"/>
    </row>
    <row r="4556" spans="4:4" x14ac:dyDescent="0.3">
      <c r="D4556" s="348"/>
    </row>
    <row r="4557" spans="4:4" x14ac:dyDescent="0.3">
      <c r="D4557" s="348"/>
    </row>
    <row r="4558" spans="4:4" x14ac:dyDescent="0.3">
      <c r="D4558" s="348"/>
    </row>
    <row r="4559" spans="4:4" x14ac:dyDescent="0.3">
      <c r="D4559" s="348"/>
    </row>
    <row r="4560" spans="4:4" x14ac:dyDescent="0.3">
      <c r="D4560" s="348"/>
    </row>
    <row r="4561" spans="4:4" x14ac:dyDescent="0.3">
      <c r="D4561" s="348"/>
    </row>
    <row r="4562" spans="4:4" x14ac:dyDescent="0.3">
      <c r="D4562" s="348"/>
    </row>
    <row r="4563" spans="4:4" x14ac:dyDescent="0.3">
      <c r="D4563" s="348"/>
    </row>
    <row r="4564" spans="4:4" x14ac:dyDescent="0.3">
      <c r="D4564" s="348"/>
    </row>
    <row r="4565" spans="4:4" x14ac:dyDescent="0.3">
      <c r="D4565" s="348"/>
    </row>
    <row r="4566" spans="4:4" x14ac:dyDescent="0.3">
      <c r="D4566" s="348"/>
    </row>
    <row r="4567" spans="4:4" x14ac:dyDescent="0.3">
      <c r="D4567" s="348"/>
    </row>
    <row r="4568" spans="4:4" x14ac:dyDescent="0.3">
      <c r="D4568" s="348"/>
    </row>
    <row r="4569" spans="4:4" x14ac:dyDescent="0.3">
      <c r="D4569" s="348"/>
    </row>
    <row r="4570" spans="4:4" x14ac:dyDescent="0.3">
      <c r="D4570" s="348"/>
    </row>
    <row r="4571" spans="4:4" x14ac:dyDescent="0.3">
      <c r="D4571" s="348"/>
    </row>
    <row r="4572" spans="4:4" x14ac:dyDescent="0.3">
      <c r="D4572" s="348"/>
    </row>
    <row r="4573" spans="4:4" x14ac:dyDescent="0.3">
      <c r="D4573" s="348"/>
    </row>
    <row r="4574" spans="4:4" x14ac:dyDescent="0.3">
      <c r="D4574" s="348"/>
    </row>
    <row r="4575" spans="4:4" x14ac:dyDescent="0.3">
      <c r="D4575" s="348"/>
    </row>
    <row r="4576" spans="4:4" x14ac:dyDescent="0.3">
      <c r="D4576" s="348"/>
    </row>
    <row r="4577" spans="4:4" x14ac:dyDescent="0.3">
      <c r="D4577" s="348"/>
    </row>
    <row r="4578" spans="4:4" x14ac:dyDescent="0.3">
      <c r="D4578" s="348"/>
    </row>
    <row r="4579" spans="4:4" x14ac:dyDescent="0.3">
      <c r="D4579" s="348"/>
    </row>
    <row r="4580" spans="4:4" x14ac:dyDescent="0.3">
      <c r="D4580" s="348"/>
    </row>
    <row r="4581" spans="4:4" x14ac:dyDescent="0.3">
      <c r="D4581" s="348"/>
    </row>
    <row r="4582" spans="4:4" x14ac:dyDescent="0.3">
      <c r="D4582" s="348"/>
    </row>
    <row r="4583" spans="4:4" x14ac:dyDescent="0.3">
      <c r="D4583" s="348"/>
    </row>
    <row r="4584" spans="4:4" x14ac:dyDescent="0.3">
      <c r="D4584" s="348"/>
    </row>
    <row r="4585" spans="4:4" x14ac:dyDescent="0.3">
      <c r="D4585" s="348"/>
    </row>
    <row r="4586" spans="4:4" x14ac:dyDescent="0.3">
      <c r="D4586" s="348"/>
    </row>
    <row r="4587" spans="4:4" x14ac:dyDescent="0.3">
      <c r="D4587" s="348"/>
    </row>
    <row r="4588" spans="4:4" x14ac:dyDescent="0.3">
      <c r="D4588" s="348"/>
    </row>
    <row r="4589" spans="4:4" x14ac:dyDescent="0.3">
      <c r="D4589" s="348"/>
    </row>
    <row r="4590" spans="4:4" x14ac:dyDescent="0.3">
      <c r="D4590" s="348"/>
    </row>
    <row r="4591" spans="4:4" x14ac:dyDescent="0.3">
      <c r="D4591" s="348"/>
    </row>
    <row r="4592" spans="4:4" x14ac:dyDescent="0.3">
      <c r="D4592" s="348"/>
    </row>
    <row r="4593" spans="4:4" x14ac:dyDescent="0.3">
      <c r="D4593" s="348"/>
    </row>
    <row r="4594" spans="4:4" x14ac:dyDescent="0.3">
      <c r="D4594" s="348"/>
    </row>
    <row r="4595" spans="4:4" x14ac:dyDescent="0.3">
      <c r="D4595" s="348"/>
    </row>
    <row r="4596" spans="4:4" x14ac:dyDescent="0.3">
      <c r="D4596" s="348"/>
    </row>
    <row r="4597" spans="4:4" x14ac:dyDescent="0.3">
      <c r="D4597" s="348"/>
    </row>
    <row r="4598" spans="4:4" x14ac:dyDescent="0.3">
      <c r="D4598" s="348"/>
    </row>
    <row r="4599" spans="4:4" x14ac:dyDescent="0.3">
      <c r="D4599" s="348"/>
    </row>
    <row r="4600" spans="4:4" x14ac:dyDescent="0.3">
      <c r="D4600" s="348"/>
    </row>
    <row r="4601" spans="4:4" x14ac:dyDescent="0.3">
      <c r="D4601" s="348"/>
    </row>
    <row r="4602" spans="4:4" x14ac:dyDescent="0.3">
      <c r="D4602" s="348"/>
    </row>
    <row r="4603" spans="4:4" x14ac:dyDescent="0.3">
      <c r="D4603" s="348"/>
    </row>
    <row r="4604" spans="4:4" x14ac:dyDescent="0.3">
      <c r="D4604" s="348"/>
    </row>
    <row r="4605" spans="4:4" x14ac:dyDescent="0.3">
      <c r="D4605" s="348"/>
    </row>
    <row r="4606" spans="4:4" x14ac:dyDescent="0.3">
      <c r="D4606" s="348"/>
    </row>
    <row r="4607" spans="4:4" x14ac:dyDescent="0.3">
      <c r="D4607" s="348"/>
    </row>
    <row r="4608" spans="4:4" x14ac:dyDescent="0.3">
      <c r="D4608" s="348"/>
    </row>
    <row r="4609" spans="4:4" x14ac:dyDescent="0.3">
      <c r="D4609" s="348"/>
    </row>
    <row r="4610" spans="4:4" x14ac:dyDescent="0.3">
      <c r="D4610" s="348"/>
    </row>
    <row r="4611" spans="4:4" x14ac:dyDescent="0.3">
      <c r="D4611" s="348"/>
    </row>
    <row r="4612" spans="4:4" x14ac:dyDescent="0.3">
      <c r="D4612" s="348"/>
    </row>
    <row r="4613" spans="4:4" x14ac:dyDescent="0.3">
      <c r="D4613" s="348"/>
    </row>
    <row r="4614" spans="4:4" x14ac:dyDescent="0.3">
      <c r="D4614" s="348"/>
    </row>
    <row r="4615" spans="4:4" x14ac:dyDescent="0.3">
      <c r="D4615" s="348"/>
    </row>
    <row r="4616" spans="4:4" x14ac:dyDescent="0.3">
      <c r="D4616" s="348"/>
    </row>
    <row r="4617" spans="4:4" x14ac:dyDescent="0.3">
      <c r="D4617" s="348"/>
    </row>
    <row r="4618" spans="4:4" x14ac:dyDescent="0.3">
      <c r="D4618" s="348"/>
    </row>
    <row r="4619" spans="4:4" x14ac:dyDescent="0.3">
      <c r="D4619" s="348"/>
    </row>
    <row r="4620" spans="4:4" x14ac:dyDescent="0.3">
      <c r="D4620" s="348"/>
    </row>
    <row r="4621" spans="4:4" x14ac:dyDescent="0.3">
      <c r="D4621" s="348"/>
    </row>
    <row r="4622" spans="4:4" x14ac:dyDescent="0.3">
      <c r="D4622" s="348"/>
    </row>
    <row r="4623" spans="4:4" x14ac:dyDescent="0.3">
      <c r="D4623" s="348"/>
    </row>
    <row r="4624" spans="4:4" x14ac:dyDescent="0.3">
      <c r="D4624" s="348"/>
    </row>
    <row r="4625" spans="4:4" x14ac:dyDescent="0.3">
      <c r="D4625" s="348"/>
    </row>
    <row r="4626" spans="4:4" x14ac:dyDescent="0.3">
      <c r="D4626" s="348"/>
    </row>
    <row r="4627" spans="4:4" x14ac:dyDescent="0.3">
      <c r="D4627" s="348"/>
    </row>
    <row r="4628" spans="4:4" x14ac:dyDescent="0.3">
      <c r="D4628" s="348"/>
    </row>
    <row r="4629" spans="4:4" x14ac:dyDescent="0.3">
      <c r="D4629" s="348"/>
    </row>
    <row r="4630" spans="4:4" x14ac:dyDescent="0.3">
      <c r="D4630" s="348"/>
    </row>
    <row r="4631" spans="4:4" x14ac:dyDescent="0.3">
      <c r="D4631" s="348"/>
    </row>
    <row r="4632" spans="4:4" x14ac:dyDescent="0.3">
      <c r="D4632" s="348"/>
    </row>
    <row r="4633" spans="4:4" x14ac:dyDescent="0.3">
      <c r="D4633" s="348"/>
    </row>
    <row r="4634" spans="4:4" x14ac:dyDescent="0.3">
      <c r="D4634" s="348"/>
    </row>
    <row r="4635" spans="4:4" x14ac:dyDescent="0.3">
      <c r="D4635" s="348"/>
    </row>
    <row r="4636" spans="4:4" x14ac:dyDescent="0.3">
      <c r="D4636" s="348"/>
    </row>
    <row r="4637" spans="4:4" x14ac:dyDescent="0.3">
      <c r="D4637" s="348"/>
    </row>
    <row r="4638" spans="4:4" x14ac:dyDescent="0.3">
      <c r="D4638" s="348"/>
    </row>
    <row r="4639" spans="4:4" x14ac:dyDescent="0.3">
      <c r="D4639" s="348"/>
    </row>
    <row r="4640" spans="4:4" x14ac:dyDescent="0.3">
      <c r="D4640" s="348"/>
    </row>
    <row r="4641" spans="4:4" x14ac:dyDescent="0.3">
      <c r="D4641" s="348"/>
    </row>
    <row r="4642" spans="4:4" x14ac:dyDescent="0.3">
      <c r="D4642" s="348"/>
    </row>
    <row r="4643" spans="4:4" x14ac:dyDescent="0.3">
      <c r="D4643" s="348"/>
    </row>
    <row r="4644" spans="4:4" x14ac:dyDescent="0.3">
      <c r="D4644" s="348"/>
    </row>
    <row r="4645" spans="4:4" x14ac:dyDescent="0.3">
      <c r="D4645" s="348"/>
    </row>
    <row r="4646" spans="4:4" x14ac:dyDescent="0.3">
      <c r="D4646" s="348"/>
    </row>
    <row r="4647" spans="4:4" x14ac:dyDescent="0.3">
      <c r="D4647" s="348"/>
    </row>
    <row r="4648" spans="4:4" x14ac:dyDescent="0.3">
      <c r="D4648" s="348"/>
    </row>
    <row r="4649" spans="4:4" x14ac:dyDescent="0.3">
      <c r="D4649" s="348"/>
    </row>
    <row r="4650" spans="4:4" x14ac:dyDescent="0.3">
      <c r="D4650" s="348"/>
    </row>
    <row r="4651" spans="4:4" x14ac:dyDescent="0.3">
      <c r="D4651" s="348"/>
    </row>
    <row r="4652" spans="4:4" x14ac:dyDescent="0.3">
      <c r="D4652" s="348"/>
    </row>
    <row r="4653" spans="4:4" x14ac:dyDescent="0.3">
      <c r="D4653" s="348"/>
    </row>
    <row r="4654" spans="4:4" x14ac:dyDescent="0.3">
      <c r="D4654" s="348"/>
    </row>
    <row r="4655" spans="4:4" x14ac:dyDescent="0.3">
      <c r="D4655" s="348"/>
    </row>
    <row r="4656" spans="4:4" x14ac:dyDescent="0.3">
      <c r="D4656" s="348"/>
    </row>
    <row r="4657" spans="4:4" x14ac:dyDescent="0.3">
      <c r="D4657" s="348"/>
    </row>
    <row r="4658" spans="4:4" x14ac:dyDescent="0.3">
      <c r="D4658" s="348"/>
    </row>
    <row r="4659" spans="4:4" x14ac:dyDescent="0.3">
      <c r="D4659" s="348"/>
    </row>
    <row r="4660" spans="4:4" x14ac:dyDescent="0.3">
      <c r="D4660" s="348"/>
    </row>
    <row r="4661" spans="4:4" x14ac:dyDescent="0.3">
      <c r="D4661" s="348"/>
    </row>
    <row r="4662" spans="4:4" x14ac:dyDescent="0.3">
      <c r="D4662" s="348"/>
    </row>
    <row r="4663" spans="4:4" x14ac:dyDescent="0.3">
      <c r="D4663" s="348"/>
    </row>
    <row r="4664" spans="4:4" x14ac:dyDescent="0.3">
      <c r="D4664" s="348"/>
    </row>
    <row r="4665" spans="4:4" x14ac:dyDescent="0.3">
      <c r="D4665" s="348"/>
    </row>
    <row r="4666" spans="4:4" x14ac:dyDescent="0.3">
      <c r="D4666" s="348"/>
    </row>
    <row r="4667" spans="4:4" x14ac:dyDescent="0.3">
      <c r="D4667" s="348"/>
    </row>
    <row r="4668" spans="4:4" x14ac:dyDescent="0.3">
      <c r="D4668" s="348"/>
    </row>
    <row r="4669" spans="4:4" x14ac:dyDescent="0.3">
      <c r="D4669" s="348"/>
    </row>
    <row r="4670" spans="4:4" x14ac:dyDescent="0.3">
      <c r="D4670" s="348"/>
    </row>
    <row r="4671" spans="4:4" x14ac:dyDescent="0.3">
      <c r="D4671" s="348"/>
    </row>
    <row r="4672" spans="4:4" x14ac:dyDescent="0.3">
      <c r="D4672" s="348"/>
    </row>
    <row r="4673" spans="4:4" x14ac:dyDescent="0.3">
      <c r="D4673" s="348"/>
    </row>
    <row r="4674" spans="4:4" x14ac:dyDescent="0.3">
      <c r="D4674" s="348"/>
    </row>
    <row r="4675" spans="4:4" x14ac:dyDescent="0.3">
      <c r="D4675" s="348"/>
    </row>
    <row r="4676" spans="4:4" x14ac:dyDescent="0.3">
      <c r="D4676" s="348"/>
    </row>
    <row r="4677" spans="4:4" x14ac:dyDescent="0.3">
      <c r="D4677" s="348"/>
    </row>
    <row r="4678" spans="4:4" x14ac:dyDescent="0.3">
      <c r="D4678" s="348"/>
    </row>
    <row r="4679" spans="4:4" x14ac:dyDescent="0.3">
      <c r="D4679" s="348"/>
    </row>
    <row r="4680" spans="4:4" x14ac:dyDescent="0.3">
      <c r="D4680" s="348"/>
    </row>
    <row r="4681" spans="4:4" x14ac:dyDescent="0.3">
      <c r="D4681" s="348"/>
    </row>
    <row r="4682" spans="4:4" x14ac:dyDescent="0.3">
      <c r="D4682" s="348"/>
    </row>
    <row r="4683" spans="4:4" x14ac:dyDescent="0.3">
      <c r="D4683" s="348"/>
    </row>
    <row r="4684" spans="4:4" x14ac:dyDescent="0.3">
      <c r="D4684" s="348"/>
    </row>
    <row r="4685" spans="4:4" x14ac:dyDescent="0.3">
      <c r="D4685" s="348"/>
    </row>
    <row r="4686" spans="4:4" x14ac:dyDescent="0.3">
      <c r="D4686" s="348"/>
    </row>
    <row r="4687" spans="4:4" x14ac:dyDescent="0.3">
      <c r="D4687" s="348"/>
    </row>
    <row r="4688" spans="4:4" x14ac:dyDescent="0.3">
      <c r="D4688" s="348"/>
    </row>
    <row r="4689" spans="4:4" x14ac:dyDescent="0.3">
      <c r="D4689" s="348"/>
    </row>
    <row r="4690" spans="4:4" x14ac:dyDescent="0.3">
      <c r="D4690" s="348"/>
    </row>
    <row r="4691" spans="4:4" x14ac:dyDescent="0.3">
      <c r="D4691" s="348"/>
    </row>
    <row r="4692" spans="4:4" x14ac:dyDescent="0.3">
      <c r="D4692" s="348"/>
    </row>
    <row r="4693" spans="4:4" x14ac:dyDescent="0.3">
      <c r="D4693" s="348"/>
    </row>
    <row r="4694" spans="4:4" x14ac:dyDescent="0.3">
      <c r="D4694" s="348"/>
    </row>
    <row r="4695" spans="4:4" x14ac:dyDescent="0.3">
      <c r="D4695" s="348"/>
    </row>
    <row r="4696" spans="4:4" x14ac:dyDescent="0.3">
      <c r="D4696" s="348"/>
    </row>
    <row r="4697" spans="4:4" x14ac:dyDescent="0.3">
      <c r="D4697" s="348"/>
    </row>
    <row r="4698" spans="4:4" x14ac:dyDescent="0.3">
      <c r="D4698" s="348"/>
    </row>
    <row r="4699" spans="4:4" x14ac:dyDescent="0.3">
      <c r="D4699" s="348"/>
    </row>
    <row r="4700" spans="4:4" x14ac:dyDescent="0.3">
      <c r="D4700" s="348"/>
    </row>
    <row r="4701" spans="4:4" x14ac:dyDescent="0.3">
      <c r="D4701" s="348"/>
    </row>
    <row r="4702" spans="4:4" x14ac:dyDescent="0.3">
      <c r="D4702" s="348"/>
    </row>
    <row r="4703" spans="4:4" x14ac:dyDescent="0.3">
      <c r="D4703" s="348"/>
    </row>
    <row r="4704" spans="4:4" x14ac:dyDescent="0.3">
      <c r="D4704" s="348"/>
    </row>
    <row r="4705" spans="4:4" x14ac:dyDescent="0.3">
      <c r="D4705" s="348"/>
    </row>
    <row r="4706" spans="4:4" x14ac:dyDescent="0.3">
      <c r="D4706" s="348"/>
    </row>
    <row r="4707" spans="4:4" x14ac:dyDescent="0.3">
      <c r="D4707" s="348"/>
    </row>
    <row r="4708" spans="4:4" x14ac:dyDescent="0.3">
      <c r="D4708" s="348"/>
    </row>
    <row r="4709" spans="4:4" x14ac:dyDescent="0.3">
      <c r="D4709" s="348"/>
    </row>
    <row r="4710" spans="4:4" x14ac:dyDescent="0.3">
      <c r="D4710" s="348"/>
    </row>
    <row r="4711" spans="4:4" x14ac:dyDescent="0.3">
      <c r="D4711" s="348"/>
    </row>
    <row r="4712" spans="4:4" x14ac:dyDescent="0.3">
      <c r="D4712" s="348"/>
    </row>
    <row r="4713" spans="4:4" x14ac:dyDescent="0.3">
      <c r="D4713" s="348"/>
    </row>
    <row r="4714" spans="4:4" x14ac:dyDescent="0.3">
      <c r="D4714" s="348"/>
    </row>
    <row r="4715" spans="4:4" x14ac:dyDescent="0.3">
      <c r="D4715" s="348"/>
    </row>
    <row r="4716" spans="4:4" x14ac:dyDescent="0.3">
      <c r="D4716" s="348"/>
    </row>
    <row r="4717" spans="4:4" x14ac:dyDescent="0.3">
      <c r="D4717" s="348"/>
    </row>
    <row r="4718" spans="4:4" x14ac:dyDescent="0.3">
      <c r="D4718" s="348"/>
    </row>
    <row r="4719" spans="4:4" x14ac:dyDescent="0.3">
      <c r="D4719" s="348"/>
    </row>
    <row r="4720" spans="4:4" x14ac:dyDescent="0.3">
      <c r="D4720" s="348"/>
    </row>
    <row r="4721" spans="4:4" x14ac:dyDescent="0.3">
      <c r="D4721" s="348"/>
    </row>
    <row r="4722" spans="4:4" x14ac:dyDescent="0.3">
      <c r="D4722" s="348"/>
    </row>
    <row r="4723" spans="4:4" x14ac:dyDescent="0.3">
      <c r="D4723" s="348"/>
    </row>
    <row r="4724" spans="4:4" x14ac:dyDescent="0.3">
      <c r="D4724" s="348"/>
    </row>
    <row r="4725" spans="4:4" x14ac:dyDescent="0.3">
      <c r="D4725" s="348"/>
    </row>
    <row r="4726" spans="4:4" x14ac:dyDescent="0.3">
      <c r="D4726" s="348"/>
    </row>
    <row r="4727" spans="4:4" x14ac:dyDescent="0.3">
      <c r="D4727" s="348"/>
    </row>
    <row r="4728" spans="4:4" x14ac:dyDescent="0.3">
      <c r="D4728" s="348"/>
    </row>
    <row r="4729" spans="4:4" x14ac:dyDescent="0.3">
      <c r="D4729" s="348"/>
    </row>
    <row r="4730" spans="4:4" x14ac:dyDescent="0.3">
      <c r="D4730" s="348"/>
    </row>
    <row r="4731" spans="4:4" x14ac:dyDescent="0.3">
      <c r="D4731" s="348"/>
    </row>
    <row r="4732" spans="4:4" x14ac:dyDescent="0.3">
      <c r="D4732" s="348"/>
    </row>
    <row r="4733" spans="4:4" x14ac:dyDescent="0.3">
      <c r="D4733" s="348"/>
    </row>
    <row r="4734" spans="4:4" x14ac:dyDescent="0.3">
      <c r="D4734" s="348"/>
    </row>
    <row r="4735" spans="4:4" x14ac:dyDescent="0.3">
      <c r="D4735" s="348"/>
    </row>
    <row r="4736" spans="4:4" x14ac:dyDescent="0.3">
      <c r="D4736" s="348"/>
    </row>
    <row r="4737" spans="4:4" x14ac:dyDescent="0.3">
      <c r="D4737" s="348"/>
    </row>
    <row r="4738" spans="4:4" x14ac:dyDescent="0.3">
      <c r="D4738" s="348"/>
    </row>
    <row r="4739" spans="4:4" x14ac:dyDescent="0.3">
      <c r="D4739" s="348"/>
    </row>
    <row r="4740" spans="4:4" x14ac:dyDescent="0.3">
      <c r="D4740" s="348"/>
    </row>
    <row r="4741" spans="4:4" x14ac:dyDescent="0.3">
      <c r="D4741" s="348"/>
    </row>
    <row r="4742" spans="4:4" x14ac:dyDescent="0.3">
      <c r="D4742" s="348"/>
    </row>
    <row r="4743" spans="4:4" x14ac:dyDescent="0.3">
      <c r="D4743" s="348"/>
    </row>
    <row r="4744" spans="4:4" x14ac:dyDescent="0.3">
      <c r="D4744" s="348"/>
    </row>
    <row r="4745" spans="4:4" x14ac:dyDescent="0.3">
      <c r="D4745" s="348"/>
    </row>
    <row r="4746" spans="4:4" x14ac:dyDescent="0.3">
      <c r="D4746" s="348"/>
    </row>
    <row r="4747" spans="4:4" x14ac:dyDescent="0.3">
      <c r="D4747" s="348"/>
    </row>
    <row r="4748" spans="4:4" x14ac:dyDescent="0.3">
      <c r="D4748" s="348"/>
    </row>
    <row r="4749" spans="4:4" x14ac:dyDescent="0.3">
      <c r="D4749" s="348"/>
    </row>
    <row r="4750" spans="4:4" x14ac:dyDescent="0.3">
      <c r="D4750" s="348"/>
    </row>
    <row r="4751" spans="4:4" x14ac:dyDescent="0.3">
      <c r="D4751" s="348"/>
    </row>
    <row r="4752" spans="4:4" x14ac:dyDescent="0.3">
      <c r="D4752" s="348"/>
    </row>
    <row r="4753" spans="4:4" x14ac:dyDescent="0.3">
      <c r="D4753" s="348"/>
    </row>
    <row r="4754" spans="4:4" x14ac:dyDescent="0.3">
      <c r="D4754" s="348"/>
    </row>
    <row r="4755" spans="4:4" x14ac:dyDescent="0.3">
      <c r="D4755" s="348"/>
    </row>
    <row r="4756" spans="4:4" x14ac:dyDescent="0.3">
      <c r="D4756" s="348"/>
    </row>
    <row r="4757" spans="4:4" x14ac:dyDescent="0.3">
      <c r="D4757" s="348"/>
    </row>
    <row r="4758" spans="4:4" x14ac:dyDescent="0.3">
      <c r="D4758" s="348"/>
    </row>
    <row r="4759" spans="4:4" x14ac:dyDescent="0.3">
      <c r="D4759" s="348"/>
    </row>
    <row r="4760" spans="4:4" x14ac:dyDescent="0.3">
      <c r="D4760" s="348"/>
    </row>
    <row r="4761" spans="4:4" x14ac:dyDescent="0.3">
      <c r="D4761" s="348"/>
    </row>
    <row r="4762" spans="4:4" x14ac:dyDescent="0.3">
      <c r="D4762" s="348"/>
    </row>
    <row r="4763" spans="4:4" x14ac:dyDescent="0.3">
      <c r="D4763" s="348"/>
    </row>
    <row r="4764" spans="4:4" x14ac:dyDescent="0.3">
      <c r="D4764" s="348"/>
    </row>
    <row r="4765" spans="4:4" x14ac:dyDescent="0.3">
      <c r="D4765" s="348"/>
    </row>
    <row r="4766" spans="4:4" x14ac:dyDescent="0.3">
      <c r="D4766" s="348"/>
    </row>
    <row r="4767" spans="4:4" x14ac:dyDescent="0.3">
      <c r="D4767" s="348"/>
    </row>
    <row r="4768" spans="4:4" x14ac:dyDescent="0.3">
      <c r="D4768" s="348"/>
    </row>
    <row r="4769" spans="4:4" x14ac:dyDescent="0.3">
      <c r="D4769" s="348"/>
    </row>
    <row r="4770" spans="4:4" x14ac:dyDescent="0.3">
      <c r="D4770" s="348"/>
    </row>
    <row r="4771" spans="4:4" x14ac:dyDescent="0.3">
      <c r="D4771" s="348"/>
    </row>
    <row r="4772" spans="4:4" x14ac:dyDescent="0.3">
      <c r="D4772" s="348"/>
    </row>
    <row r="4773" spans="4:4" x14ac:dyDescent="0.3">
      <c r="D4773" s="348"/>
    </row>
    <row r="4774" spans="4:4" x14ac:dyDescent="0.3">
      <c r="D4774" s="348"/>
    </row>
    <row r="4775" spans="4:4" x14ac:dyDescent="0.3">
      <c r="D4775" s="348"/>
    </row>
    <row r="4776" spans="4:4" x14ac:dyDescent="0.3">
      <c r="D4776" s="348"/>
    </row>
    <row r="4777" spans="4:4" x14ac:dyDescent="0.3">
      <c r="D4777" s="348"/>
    </row>
    <row r="4778" spans="4:4" x14ac:dyDescent="0.3">
      <c r="D4778" s="348"/>
    </row>
    <row r="4779" spans="4:4" x14ac:dyDescent="0.3">
      <c r="D4779" s="348"/>
    </row>
    <row r="4780" spans="4:4" x14ac:dyDescent="0.3">
      <c r="D4780" s="348"/>
    </row>
    <row r="4781" spans="4:4" x14ac:dyDescent="0.3">
      <c r="D4781" s="348"/>
    </row>
    <row r="4782" spans="4:4" x14ac:dyDescent="0.3">
      <c r="D4782" s="348"/>
    </row>
    <row r="4783" spans="4:4" x14ac:dyDescent="0.3">
      <c r="D4783" s="348"/>
    </row>
    <row r="4784" spans="4:4" x14ac:dyDescent="0.3">
      <c r="D4784" s="348"/>
    </row>
    <row r="4785" spans="4:4" x14ac:dyDescent="0.3">
      <c r="D4785" s="348"/>
    </row>
    <row r="4786" spans="4:4" x14ac:dyDescent="0.3">
      <c r="D4786" s="348"/>
    </row>
    <row r="4787" spans="4:4" x14ac:dyDescent="0.3">
      <c r="D4787" s="348"/>
    </row>
    <row r="4788" spans="4:4" x14ac:dyDescent="0.3">
      <c r="D4788" s="348"/>
    </row>
    <row r="4789" spans="4:4" x14ac:dyDescent="0.3">
      <c r="D4789" s="348"/>
    </row>
    <row r="4790" spans="4:4" x14ac:dyDescent="0.3">
      <c r="D4790" s="348"/>
    </row>
    <row r="4791" spans="4:4" x14ac:dyDescent="0.3">
      <c r="D4791" s="348"/>
    </row>
    <row r="4792" spans="4:4" x14ac:dyDescent="0.3">
      <c r="D4792" s="348"/>
    </row>
    <row r="4793" spans="4:4" x14ac:dyDescent="0.3">
      <c r="D4793" s="348"/>
    </row>
    <row r="4794" spans="4:4" x14ac:dyDescent="0.3">
      <c r="D4794" s="348"/>
    </row>
    <row r="4795" spans="4:4" x14ac:dyDescent="0.3">
      <c r="D4795" s="348"/>
    </row>
    <row r="4796" spans="4:4" x14ac:dyDescent="0.3">
      <c r="D4796" s="348"/>
    </row>
    <row r="4797" spans="4:4" x14ac:dyDescent="0.3">
      <c r="D4797" s="348"/>
    </row>
    <row r="4798" spans="4:4" x14ac:dyDescent="0.3">
      <c r="D4798" s="348"/>
    </row>
    <row r="4799" spans="4:4" x14ac:dyDescent="0.3">
      <c r="D4799" s="348"/>
    </row>
    <row r="4800" spans="4:4" x14ac:dyDescent="0.3">
      <c r="D4800" s="348"/>
    </row>
    <row r="4801" spans="4:4" x14ac:dyDescent="0.3">
      <c r="D4801" s="348"/>
    </row>
    <row r="4802" spans="4:4" x14ac:dyDescent="0.3">
      <c r="D4802" s="348"/>
    </row>
    <row r="4803" spans="4:4" x14ac:dyDescent="0.3">
      <c r="D4803" s="348"/>
    </row>
    <row r="4804" spans="4:4" x14ac:dyDescent="0.3">
      <c r="D4804" s="348"/>
    </row>
    <row r="4805" spans="4:4" x14ac:dyDescent="0.3">
      <c r="D4805" s="348"/>
    </row>
    <row r="4806" spans="4:4" x14ac:dyDescent="0.3">
      <c r="D4806" s="348"/>
    </row>
    <row r="4807" spans="4:4" x14ac:dyDescent="0.3">
      <c r="D4807" s="348"/>
    </row>
    <row r="4808" spans="4:4" x14ac:dyDescent="0.3">
      <c r="D4808" s="348"/>
    </row>
    <row r="4809" spans="4:4" x14ac:dyDescent="0.3">
      <c r="D4809" s="348"/>
    </row>
    <row r="4810" spans="4:4" x14ac:dyDescent="0.3">
      <c r="D4810" s="348"/>
    </row>
    <row r="4811" spans="4:4" x14ac:dyDescent="0.3">
      <c r="D4811" s="348"/>
    </row>
    <row r="4812" spans="4:4" x14ac:dyDescent="0.3">
      <c r="D4812" s="348"/>
    </row>
    <row r="4813" spans="4:4" x14ac:dyDescent="0.3">
      <c r="D4813" s="348"/>
    </row>
    <row r="4814" spans="4:4" x14ac:dyDescent="0.3">
      <c r="D4814" s="348"/>
    </row>
    <row r="4815" spans="4:4" x14ac:dyDescent="0.3">
      <c r="D4815" s="348"/>
    </row>
    <row r="4816" spans="4:4" x14ac:dyDescent="0.3">
      <c r="D4816" s="348"/>
    </row>
    <row r="4817" spans="4:4" x14ac:dyDescent="0.3">
      <c r="D4817" s="348"/>
    </row>
    <row r="4818" spans="4:4" x14ac:dyDescent="0.3">
      <c r="D4818" s="348"/>
    </row>
    <row r="4819" spans="4:4" x14ac:dyDescent="0.3">
      <c r="D4819" s="348"/>
    </row>
    <row r="4820" spans="4:4" x14ac:dyDescent="0.3">
      <c r="D4820" s="348"/>
    </row>
    <row r="4821" spans="4:4" x14ac:dyDescent="0.3">
      <c r="D4821" s="348"/>
    </row>
    <row r="4822" spans="4:4" x14ac:dyDescent="0.3">
      <c r="D4822" s="348"/>
    </row>
    <row r="4823" spans="4:4" x14ac:dyDescent="0.3">
      <c r="D4823" s="348"/>
    </row>
    <row r="4824" spans="4:4" x14ac:dyDescent="0.3">
      <c r="D4824" s="348"/>
    </row>
    <row r="4825" spans="4:4" x14ac:dyDescent="0.3">
      <c r="D4825" s="348"/>
    </row>
    <row r="4826" spans="4:4" x14ac:dyDescent="0.3">
      <c r="D4826" s="348"/>
    </row>
    <row r="4827" spans="4:4" x14ac:dyDescent="0.3">
      <c r="D4827" s="348"/>
    </row>
    <row r="4828" spans="4:4" x14ac:dyDescent="0.3">
      <c r="D4828" s="348"/>
    </row>
    <row r="4829" spans="4:4" x14ac:dyDescent="0.3">
      <c r="D4829" s="348"/>
    </row>
    <row r="4830" spans="4:4" x14ac:dyDescent="0.3">
      <c r="D4830" s="348"/>
    </row>
    <row r="4831" spans="4:4" x14ac:dyDescent="0.3">
      <c r="D4831" s="348"/>
    </row>
    <row r="4832" spans="4:4" x14ac:dyDescent="0.3">
      <c r="D4832" s="348"/>
    </row>
    <row r="4833" spans="4:4" x14ac:dyDescent="0.3">
      <c r="D4833" s="348"/>
    </row>
    <row r="4834" spans="4:4" x14ac:dyDescent="0.3">
      <c r="D4834" s="348"/>
    </row>
    <row r="4835" spans="4:4" x14ac:dyDescent="0.3">
      <c r="D4835" s="348"/>
    </row>
    <row r="4836" spans="4:4" x14ac:dyDescent="0.3">
      <c r="D4836" s="348"/>
    </row>
    <row r="4837" spans="4:4" x14ac:dyDescent="0.3">
      <c r="D4837" s="348"/>
    </row>
    <row r="4838" spans="4:4" x14ac:dyDescent="0.3">
      <c r="D4838" s="348"/>
    </row>
    <row r="4839" spans="4:4" x14ac:dyDescent="0.3">
      <c r="D4839" s="348"/>
    </row>
    <row r="4840" spans="4:4" x14ac:dyDescent="0.3">
      <c r="D4840" s="348"/>
    </row>
    <row r="4841" spans="4:4" x14ac:dyDescent="0.3">
      <c r="D4841" s="348"/>
    </row>
    <row r="4842" spans="4:4" x14ac:dyDescent="0.3">
      <c r="D4842" s="348"/>
    </row>
    <row r="4843" spans="4:4" x14ac:dyDescent="0.3">
      <c r="D4843" s="348"/>
    </row>
    <row r="4844" spans="4:4" x14ac:dyDescent="0.3">
      <c r="D4844" s="348"/>
    </row>
    <row r="4845" spans="4:4" x14ac:dyDescent="0.3">
      <c r="D4845" s="348"/>
    </row>
    <row r="4846" spans="4:4" x14ac:dyDescent="0.3">
      <c r="D4846" s="348"/>
    </row>
    <row r="4847" spans="4:4" x14ac:dyDescent="0.3">
      <c r="D4847" s="348"/>
    </row>
    <row r="4848" spans="4:4" x14ac:dyDescent="0.3">
      <c r="D4848" s="348"/>
    </row>
    <row r="4849" spans="4:4" x14ac:dyDescent="0.3">
      <c r="D4849" s="348"/>
    </row>
    <row r="4850" spans="4:4" x14ac:dyDescent="0.3">
      <c r="D4850" s="348"/>
    </row>
    <row r="4851" spans="4:4" x14ac:dyDescent="0.3">
      <c r="D4851" s="348"/>
    </row>
    <row r="4852" spans="4:4" x14ac:dyDescent="0.3">
      <c r="D4852" s="348"/>
    </row>
    <row r="4853" spans="4:4" x14ac:dyDescent="0.3">
      <c r="D4853" s="348"/>
    </row>
    <row r="4854" spans="4:4" x14ac:dyDescent="0.3">
      <c r="D4854" s="348"/>
    </row>
    <row r="4855" spans="4:4" x14ac:dyDescent="0.3">
      <c r="D4855" s="348"/>
    </row>
    <row r="4856" spans="4:4" x14ac:dyDescent="0.3">
      <c r="D4856" s="348"/>
    </row>
    <row r="4857" spans="4:4" x14ac:dyDescent="0.3">
      <c r="D4857" s="348"/>
    </row>
    <row r="4858" spans="4:4" x14ac:dyDescent="0.3">
      <c r="D4858" s="348"/>
    </row>
    <row r="4859" spans="4:4" x14ac:dyDescent="0.3">
      <c r="D4859" s="348"/>
    </row>
    <row r="4860" spans="4:4" x14ac:dyDescent="0.3">
      <c r="D4860" s="348"/>
    </row>
    <row r="4861" spans="4:4" x14ac:dyDescent="0.3">
      <c r="D4861" s="348"/>
    </row>
    <row r="4862" spans="4:4" x14ac:dyDescent="0.3">
      <c r="D4862" s="348"/>
    </row>
    <row r="4863" spans="4:4" x14ac:dyDescent="0.3">
      <c r="D4863" s="348"/>
    </row>
    <row r="4864" spans="4:4" x14ac:dyDescent="0.3">
      <c r="D4864" s="348"/>
    </row>
    <row r="4865" spans="4:4" x14ac:dyDescent="0.3">
      <c r="D4865" s="348"/>
    </row>
    <row r="4866" spans="4:4" x14ac:dyDescent="0.3">
      <c r="D4866" s="348"/>
    </row>
    <row r="4867" spans="4:4" x14ac:dyDescent="0.3">
      <c r="D4867" s="348"/>
    </row>
    <row r="4868" spans="4:4" x14ac:dyDescent="0.3">
      <c r="D4868" s="348"/>
    </row>
    <row r="4869" spans="4:4" x14ac:dyDescent="0.3">
      <c r="D4869" s="348"/>
    </row>
    <row r="4870" spans="4:4" x14ac:dyDescent="0.3">
      <c r="D4870" s="348"/>
    </row>
    <row r="4871" spans="4:4" x14ac:dyDescent="0.3">
      <c r="D4871" s="348"/>
    </row>
    <row r="4872" spans="4:4" x14ac:dyDescent="0.3">
      <c r="D4872" s="348"/>
    </row>
    <row r="4873" spans="4:4" x14ac:dyDescent="0.3">
      <c r="D4873" s="348"/>
    </row>
    <row r="4874" spans="4:4" x14ac:dyDescent="0.3">
      <c r="D4874" s="348"/>
    </row>
    <row r="4875" spans="4:4" x14ac:dyDescent="0.3">
      <c r="D4875" s="348"/>
    </row>
    <row r="4876" spans="4:4" x14ac:dyDescent="0.3">
      <c r="D4876" s="348"/>
    </row>
    <row r="4877" spans="4:4" x14ac:dyDescent="0.3">
      <c r="D4877" s="348"/>
    </row>
    <row r="4878" spans="4:4" x14ac:dyDescent="0.3">
      <c r="D4878" s="348"/>
    </row>
    <row r="4879" spans="4:4" x14ac:dyDescent="0.3">
      <c r="D4879" s="348"/>
    </row>
    <row r="4880" spans="4:4" x14ac:dyDescent="0.3">
      <c r="D4880" s="348"/>
    </row>
    <row r="4881" spans="4:4" x14ac:dyDescent="0.3">
      <c r="D4881" s="348"/>
    </row>
    <row r="4882" spans="4:4" x14ac:dyDescent="0.3">
      <c r="D4882" s="348"/>
    </row>
    <row r="4883" spans="4:4" x14ac:dyDescent="0.3">
      <c r="D4883" s="348"/>
    </row>
    <row r="4884" spans="4:4" x14ac:dyDescent="0.3">
      <c r="D4884" s="348"/>
    </row>
    <row r="4885" spans="4:4" x14ac:dyDescent="0.3">
      <c r="D4885" s="348"/>
    </row>
    <row r="4886" spans="4:4" x14ac:dyDescent="0.3">
      <c r="D4886" s="348"/>
    </row>
    <row r="4887" spans="4:4" x14ac:dyDescent="0.3">
      <c r="D4887" s="348"/>
    </row>
    <row r="4888" spans="4:4" x14ac:dyDescent="0.3">
      <c r="D4888" s="348"/>
    </row>
    <row r="4889" spans="4:4" x14ac:dyDescent="0.3">
      <c r="D4889" s="348"/>
    </row>
    <row r="4890" spans="4:4" x14ac:dyDescent="0.3">
      <c r="D4890" s="348"/>
    </row>
    <row r="4891" spans="4:4" x14ac:dyDescent="0.3">
      <c r="D4891" s="348"/>
    </row>
    <row r="4892" spans="4:4" x14ac:dyDescent="0.3">
      <c r="D4892" s="348"/>
    </row>
    <row r="4893" spans="4:4" x14ac:dyDescent="0.3">
      <c r="D4893" s="348"/>
    </row>
    <row r="4894" spans="4:4" x14ac:dyDescent="0.3">
      <c r="D4894" s="348"/>
    </row>
    <row r="4895" spans="4:4" x14ac:dyDescent="0.3">
      <c r="D4895" s="348"/>
    </row>
    <row r="4896" spans="4:4" x14ac:dyDescent="0.3">
      <c r="D4896" s="348"/>
    </row>
    <row r="4897" spans="4:4" x14ac:dyDescent="0.3">
      <c r="D4897" s="348"/>
    </row>
    <row r="4898" spans="4:4" x14ac:dyDescent="0.3">
      <c r="D4898" s="348"/>
    </row>
    <row r="4899" spans="4:4" x14ac:dyDescent="0.3">
      <c r="D4899" s="348"/>
    </row>
    <row r="4900" spans="4:4" x14ac:dyDescent="0.3">
      <c r="D4900" s="348"/>
    </row>
    <row r="4901" spans="4:4" x14ac:dyDescent="0.3">
      <c r="D4901" s="348"/>
    </row>
    <row r="4902" spans="4:4" x14ac:dyDescent="0.3">
      <c r="D4902" s="348"/>
    </row>
    <row r="4903" spans="4:4" x14ac:dyDescent="0.3">
      <c r="D4903" s="348"/>
    </row>
    <row r="4904" spans="4:4" x14ac:dyDescent="0.3">
      <c r="D4904" s="348"/>
    </row>
    <row r="4905" spans="4:4" x14ac:dyDescent="0.3">
      <c r="D4905" s="348"/>
    </row>
    <row r="4906" spans="4:4" x14ac:dyDescent="0.3">
      <c r="D4906" s="348"/>
    </row>
    <row r="4907" spans="4:4" x14ac:dyDescent="0.3">
      <c r="D4907" s="348"/>
    </row>
    <row r="4908" spans="4:4" x14ac:dyDescent="0.3">
      <c r="D4908" s="348"/>
    </row>
    <row r="4909" spans="4:4" x14ac:dyDescent="0.3">
      <c r="D4909" s="348"/>
    </row>
    <row r="4910" spans="4:4" x14ac:dyDescent="0.3">
      <c r="D4910" s="348"/>
    </row>
    <row r="4911" spans="4:4" x14ac:dyDescent="0.3">
      <c r="D4911" s="348"/>
    </row>
    <row r="4912" spans="4:4" x14ac:dyDescent="0.3">
      <c r="D4912" s="348"/>
    </row>
    <row r="4913" spans="4:4" x14ac:dyDescent="0.3">
      <c r="D4913" s="348"/>
    </row>
    <row r="4914" spans="4:4" x14ac:dyDescent="0.3">
      <c r="D4914" s="348"/>
    </row>
    <row r="4915" spans="4:4" x14ac:dyDescent="0.3">
      <c r="D4915" s="348"/>
    </row>
    <row r="4916" spans="4:4" x14ac:dyDescent="0.3">
      <c r="D4916" s="348"/>
    </row>
    <row r="4917" spans="4:4" x14ac:dyDescent="0.3">
      <c r="D4917" s="348"/>
    </row>
    <row r="4918" spans="4:4" x14ac:dyDescent="0.3">
      <c r="D4918" s="348"/>
    </row>
    <row r="4919" spans="4:4" x14ac:dyDescent="0.3">
      <c r="D4919" s="348"/>
    </row>
    <row r="4920" spans="4:4" x14ac:dyDescent="0.3">
      <c r="D4920" s="348"/>
    </row>
    <row r="4921" spans="4:4" x14ac:dyDescent="0.3">
      <c r="D4921" s="348"/>
    </row>
    <row r="4922" spans="4:4" x14ac:dyDescent="0.3">
      <c r="D4922" s="348"/>
    </row>
    <row r="4923" spans="4:4" x14ac:dyDescent="0.3">
      <c r="D4923" s="348"/>
    </row>
    <row r="4924" spans="4:4" x14ac:dyDescent="0.3">
      <c r="D4924" s="348"/>
    </row>
    <row r="4925" spans="4:4" x14ac:dyDescent="0.3">
      <c r="D4925" s="348"/>
    </row>
    <row r="4926" spans="4:4" x14ac:dyDescent="0.3">
      <c r="D4926" s="348"/>
    </row>
    <row r="4927" spans="4:4" x14ac:dyDescent="0.3">
      <c r="D4927" s="348"/>
    </row>
    <row r="4928" spans="4:4" x14ac:dyDescent="0.3">
      <c r="D4928" s="348"/>
    </row>
    <row r="4929" spans="4:4" x14ac:dyDescent="0.3">
      <c r="D4929" s="348"/>
    </row>
    <row r="4930" spans="4:4" x14ac:dyDescent="0.3">
      <c r="D4930" s="348"/>
    </row>
    <row r="4931" spans="4:4" x14ac:dyDescent="0.3">
      <c r="D4931" s="348"/>
    </row>
    <row r="4932" spans="4:4" x14ac:dyDescent="0.3">
      <c r="D4932" s="348"/>
    </row>
    <row r="4933" spans="4:4" x14ac:dyDescent="0.3">
      <c r="D4933" s="348"/>
    </row>
    <row r="4934" spans="4:4" x14ac:dyDescent="0.3">
      <c r="D4934" s="348"/>
    </row>
    <row r="4935" spans="4:4" x14ac:dyDescent="0.3">
      <c r="D4935" s="348"/>
    </row>
    <row r="4936" spans="4:4" x14ac:dyDescent="0.3">
      <c r="D4936" s="348"/>
    </row>
    <row r="4937" spans="4:4" x14ac:dyDescent="0.3">
      <c r="D4937" s="348"/>
    </row>
    <row r="4938" spans="4:4" x14ac:dyDescent="0.3">
      <c r="D4938" s="348"/>
    </row>
    <row r="4939" spans="4:4" x14ac:dyDescent="0.3">
      <c r="D4939" s="348"/>
    </row>
    <row r="4940" spans="4:4" x14ac:dyDescent="0.3">
      <c r="D4940" s="348"/>
    </row>
    <row r="4941" spans="4:4" x14ac:dyDescent="0.3">
      <c r="D4941" s="348"/>
    </row>
    <row r="4942" spans="4:4" x14ac:dyDescent="0.3">
      <c r="D4942" s="348"/>
    </row>
    <row r="4943" spans="4:4" x14ac:dyDescent="0.3">
      <c r="D4943" s="348"/>
    </row>
    <row r="4944" spans="4:4" x14ac:dyDescent="0.3">
      <c r="D4944" s="348"/>
    </row>
    <row r="4945" spans="4:4" x14ac:dyDescent="0.3">
      <c r="D4945" s="348"/>
    </row>
    <row r="4946" spans="4:4" x14ac:dyDescent="0.3">
      <c r="D4946" s="348"/>
    </row>
    <row r="4947" spans="4:4" x14ac:dyDescent="0.3">
      <c r="D4947" s="348"/>
    </row>
    <row r="4948" spans="4:4" x14ac:dyDescent="0.3">
      <c r="D4948" s="348"/>
    </row>
    <row r="4949" spans="4:4" x14ac:dyDescent="0.3">
      <c r="D4949" s="348"/>
    </row>
    <row r="4950" spans="4:4" x14ac:dyDescent="0.3">
      <c r="D4950" s="348"/>
    </row>
    <row r="4951" spans="4:4" x14ac:dyDescent="0.3">
      <c r="D4951" s="348"/>
    </row>
    <row r="4952" spans="4:4" x14ac:dyDescent="0.3">
      <c r="D4952" s="348"/>
    </row>
    <row r="4953" spans="4:4" x14ac:dyDescent="0.3">
      <c r="D4953" s="348"/>
    </row>
    <row r="4954" spans="4:4" x14ac:dyDescent="0.3">
      <c r="D4954" s="348"/>
    </row>
    <row r="4955" spans="4:4" x14ac:dyDescent="0.3">
      <c r="D4955" s="348"/>
    </row>
    <row r="4956" spans="4:4" x14ac:dyDescent="0.3">
      <c r="D4956" s="348"/>
    </row>
    <row r="4957" spans="4:4" x14ac:dyDescent="0.3">
      <c r="D4957" s="348"/>
    </row>
    <row r="4958" spans="4:4" x14ac:dyDescent="0.3">
      <c r="D4958" s="348"/>
    </row>
    <row r="4959" spans="4:4" x14ac:dyDescent="0.3">
      <c r="D4959" s="348"/>
    </row>
    <row r="4960" spans="4:4" x14ac:dyDescent="0.3">
      <c r="D4960" s="348"/>
    </row>
    <row r="4961" spans="4:4" x14ac:dyDescent="0.3">
      <c r="D4961" s="348"/>
    </row>
    <row r="4962" spans="4:4" x14ac:dyDescent="0.3">
      <c r="D4962" s="348"/>
    </row>
    <row r="4963" spans="4:4" x14ac:dyDescent="0.3">
      <c r="D4963" s="348"/>
    </row>
    <row r="4964" spans="4:4" x14ac:dyDescent="0.3">
      <c r="D4964" s="348"/>
    </row>
    <row r="4965" spans="4:4" x14ac:dyDescent="0.3">
      <c r="D4965" s="348"/>
    </row>
    <row r="4966" spans="4:4" x14ac:dyDescent="0.3">
      <c r="D4966" s="348"/>
    </row>
    <row r="4967" spans="4:4" x14ac:dyDescent="0.3">
      <c r="D4967" s="348"/>
    </row>
    <row r="4968" spans="4:4" x14ac:dyDescent="0.3">
      <c r="D4968" s="348"/>
    </row>
    <row r="4969" spans="4:4" x14ac:dyDescent="0.3">
      <c r="D4969" s="348"/>
    </row>
    <row r="4970" spans="4:4" x14ac:dyDescent="0.3">
      <c r="D4970" s="348"/>
    </row>
    <row r="4971" spans="4:4" x14ac:dyDescent="0.3">
      <c r="D4971" s="348"/>
    </row>
    <row r="4972" spans="4:4" x14ac:dyDescent="0.3">
      <c r="D4972" s="348"/>
    </row>
    <row r="4973" spans="4:4" x14ac:dyDescent="0.3">
      <c r="D4973" s="348"/>
    </row>
    <row r="4974" spans="4:4" x14ac:dyDescent="0.3">
      <c r="D4974" s="348"/>
    </row>
    <row r="4975" spans="4:4" x14ac:dyDescent="0.3">
      <c r="D4975" s="348"/>
    </row>
    <row r="4976" spans="4:4" x14ac:dyDescent="0.3">
      <c r="D4976" s="348"/>
    </row>
    <row r="4977" spans="4:4" x14ac:dyDescent="0.3">
      <c r="D4977" s="348"/>
    </row>
    <row r="4978" spans="4:4" x14ac:dyDescent="0.3">
      <c r="D4978" s="348"/>
    </row>
    <row r="4979" spans="4:4" x14ac:dyDescent="0.3">
      <c r="D4979" s="348"/>
    </row>
    <row r="4980" spans="4:4" x14ac:dyDescent="0.3">
      <c r="D4980" s="348"/>
    </row>
    <row r="4981" spans="4:4" x14ac:dyDescent="0.3">
      <c r="D4981" s="348"/>
    </row>
    <row r="4982" spans="4:4" x14ac:dyDescent="0.3">
      <c r="D4982" s="348"/>
    </row>
    <row r="4983" spans="4:4" x14ac:dyDescent="0.3">
      <c r="D4983" s="348"/>
    </row>
    <row r="4984" spans="4:4" x14ac:dyDescent="0.3">
      <c r="D4984" s="348"/>
    </row>
    <row r="4985" spans="4:4" x14ac:dyDescent="0.3">
      <c r="D4985" s="348"/>
    </row>
    <row r="4986" spans="4:4" x14ac:dyDescent="0.3">
      <c r="D4986" s="348"/>
    </row>
    <row r="4987" spans="4:4" x14ac:dyDescent="0.3">
      <c r="D4987" s="348"/>
    </row>
    <row r="4988" spans="4:4" x14ac:dyDescent="0.3">
      <c r="D4988" s="348"/>
    </row>
    <row r="4989" spans="4:4" x14ac:dyDescent="0.3">
      <c r="D4989" s="348"/>
    </row>
    <row r="4990" spans="4:4" x14ac:dyDescent="0.3">
      <c r="D4990" s="348"/>
    </row>
    <row r="4991" spans="4:4" x14ac:dyDescent="0.3">
      <c r="D4991" s="348"/>
    </row>
    <row r="4992" spans="4:4" x14ac:dyDescent="0.3">
      <c r="D4992" s="348"/>
    </row>
    <row r="4993" spans="4:4" x14ac:dyDescent="0.3">
      <c r="D4993" s="348"/>
    </row>
    <row r="4994" spans="4:4" x14ac:dyDescent="0.3">
      <c r="D4994" s="348"/>
    </row>
    <row r="4995" spans="4:4" x14ac:dyDescent="0.3">
      <c r="D4995" s="348"/>
    </row>
    <row r="4996" spans="4:4" x14ac:dyDescent="0.3">
      <c r="D4996" s="348"/>
    </row>
    <row r="4997" spans="4:4" x14ac:dyDescent="0.3">
      <c r="D4997" s="348"/>
    </row>
    <row r="4998" spans="4:4" x14ac:dyDescent="0.3">
      <c r="D4998" s="348"/>
    </row>
    <row r="4999" spans="4:4" x14ac:dyDescent="0.3">
      <c r="D4999" s="348"/>
    </row>
    <row r="5000" spans="4:4" x14ac:dyDescent="0.3">
      <c r="D5000" s="348"/>
    </row>
    <row r="5001" spans="4:4" x14ac:dyDescent="0.3">
      <c r="D5001" s="348"/>
    </row>
    <row r="5002" spans="4:4" x14ac:dyDescent="0.3">
      <c r="D5002" s="348"/>
    </row>
    <row r="5003" spans="4:4" x14ac:dyDescent="0.3">
      <c r="D5003" s="348"/>
    </row>
    <row r="5004" spans="4:4" x14ac:dyDescent="0.3">
      <c r="D5004" s="348"/>
    </row>
    <row r="5005" spans="4:4" x14ac:dyDescent="0.3">
      <c r="D5005" s="348"/>
    </row>
    <row r="5006" spans="4:4" x14ac:dyDescent="0.3">
      <c r="D5006" s="348"/>
    </row>
    <row r="5007" spans="4:4" x14ac:dyDescent="0.3">
      <c r="D5007" s="348"/>
    </row>
    <row r="5008" spans="4:4" x14ac:dyDescent="0.3">
      <c r="D5008" s="348"/>
    </row>
    <row r="5009" spans="4:4" x14ac:dyDescent="0.3">
      <c r="D5009" s="348"/>
    </row>
    <row r="5010" spans="4:4" x14ac:dyDescent="0.3">
      <c r="D5010" s="348"/>
    </row>
    <row r="5011" spans="4:4" x14ac:dyDescent="0.3">
      <c r="D5011" s="348"/>
    </row>
    <row r="5012" spans="4:4" x14ac:dyDescent="0.3">
      <c r="D5012" s="348"/>
    </row>
    <row r="5013" spans="4:4" x14ac:dyDescent="0.3">
      <c r="D5013" s="348"/>
    </row>
    <row r="5014" spans="4:4" x14ac:dyDescent="0.3">
      <c r="D5014" s="348"/>
    </row>
    <row r="5015" spans="4:4" x14ac:dyDescent="0.3">
      <c r="D5015" s="348"/>
    </row>
    <row r="5016" spans="4:4" x14ac:dyDescent="0.3">
      <c r="D5016" s="348"/>
    </row>
    <row r="5017" spans="4:4" x14ac:dyDescent="0.3">
      <c r="D5017" s="348"/>
    </row>
    <row r="5018" spans="4:4" x14ac:dyDescent="0.3">
      <c r="D5018" s="348"/>
    </row>
    <row r="5019" spans="4:4" x14ac:dyDescent="0.3">
      <c r="D5019" s="348"/>
    </row>
    <row r="5020" spans="4:4" x14ac:dyDescent="0.3">
      <c r="D5020" s="348"/>
    </row>
    <row r="5021" spans="4:4" x14ac:dyDescent="0.3">
      <c r="D5021" s="348"/>
    </row>
    <row r="5022" spans="4:4" x14ac:dyDescent="0.3">
      <c r="D5022" s="348"/>
    </row>
    <row r="5023" spans="4:4" x14ac:dyDescent="0.3">
      <c r="D5023" s="348"/>
    </row>
    <row r="5024" spans="4:4" x14ac:dyDescent="0.3">
      <c r="D5024" s="348"/>
    </row>
    <row r="5025" spans="4:4" x14ac:dyDescent="0.3">
      <c r="D5025" s="348"/>
    </row>
    <row r="5026" spans="4:4" x14ac:dyDescent="0.3">
      <c r="D5026" s="348"/>
    </row>
    <row r="5027" spans="4:4" x14ac:dyDescent="0.3">
      <c r="D5027" s="348"/>
    </row>
    <row r="5028" spans="4:4" x14ac:dyDescent="0.3">
      <c r="D5028" s="348"/>
    </row>
    <row r="5029" spans="4:4" x14ac:dyDescent="0.3">
      <c r="D5029" s="348"/>
    </row>
    <row r="5030" spans="4:4" x14ac:dyDescent="0.3">
      <c r="D5030" s="348"/>
    </row>
    <row r="5031" spans="4:4" x14ac:dyDescent="0.3">
      <c r="D5031" s="348"/>
    </row>
    <row r="5032" spans="4:4" x14ac:dyDescent="0.3">
      <c r="D5032" s="348"/>
    </row>
    <row r="5033" spans="4:4" x14ac:dyDescent="0.3">
      <c r="D5033" s="348"/>
    </row>
    <row r="5034" spans="4:4" x14ac:dyDescent="0.3">
      <c r="D5034" s="348"/>
    </row>
    <row r="5035" spans="4:4" x14ac:dyDescent="0.3">
      <c r="D5035" s="348"/>
    </row>
    <row r="5036" spans="4:4" x14ac:dyDescent="0.3">
      <c r="D5036" s="348"/>
    </row>
    <row r="5037" spans="4:4" x14ac:dyDescent="0.3">
      <c r="D5037" s="348"/>
    </row>
    <row r="5038" spans="4:4" x14ac:dyDescent="0.3">
      <c r="D5038" s="348"/>
    </row>
    <row r="5039" spans="4:4" x14ac:dyDescent="0.3">
      <c r="D5039" s="348"/>
    </row>
    <row r="5040" spans="4:4" x14ac:dyDescent="0.3">
      <c r="D5040" s="348"/>
    </row>
    <row r="5041" spans="4:4" x14ac:dyDescent="0.3">
      <c r="D5041" s="348"/>
    </row>
    <row r="5042" spans="4:4" x14ac:dyDescent="0.3">
      <c r="D5042" s="348"/>
    </row>
    <row r="5043" spans="4:4" x14ac:dyDescent="0.3">
      <c r="D5043" s="348"/>
    </row>
    <row r="5044" spans="4:4" x14ac:dyDescent="0.3">
      <c r="D5044" s="348"/>
    </row>
    <row r="5045" spans="4:4" x14ac:dyDescent="0.3">
      <c r="D5045" s="348"/>
    </row>
    <row r="5046" spans="4:4" x14ac:dyDescent="0.3">
      <c r="D5046" s="348"/>
    </row>
    <row r="5047" spans="4:4" x14ac:dyDescent="0.3">
      <c r="D5047" s="348"/>
    </row>
    <row r="5048" spans="4:4" x14ac:dyDescent="0.3">
      <c r="D5048" s="348"/>
    </row>
    <row r="5049" spans="4:4" x14ac:dyDescent="0.3">
      <c r="D5049" s="348"/>
    </row>
    <row r="5050" spans="4:4" x14ac:dyDescent="0.3">
      <c r="D5050" s="348"/>
    </row>
    <row r="5051" spans="4:4" x14ac:dyDescent="0.3">
      <c r="D5051" s="348"/>
    </row>
    <row r="5052" spans="4:4" x14ac:dyDescent="0.3">
      <c r="D5052" s="348"/>
    </row>
    <row r="5053" spans="4:4" x14ac:dyDescent="0.3">
      <c r="D5053" s="348"/>
    </row>
    <row r="5054" spans="4:4" x14ac:dyDescent="0.3">
      <c r="D5054" s="348"/>
    </row>
    <row r="5055" spans="4:4" x14ac:dyDescent="0.3">
      <c r="D5055" s="348"/>
    </row>
    <row r="5056" spans="4:4" x14ac:dyDescent="0.3">
      <c r="D5056" s="348"/>
    </row>
    <row r="5057" spans="4:4" x14ac:dyDescent="0.3">
      <c r="D5057" s="348"/>
    </row>
    <row r="5058" spans="4:4" x14ac:dyDescent="0.3">
      <c r="D5058" s="348"/>
    </row>
    <row r="5059" spans="4:4" x14ac:dyDescent="0.3">
      <c r="D5059" s="348"/>
    </row>
    <row r="5060" spans="4:4" x14ac:dyDescent="0.3">
      <c r="D5060" s="348"/>
    </row>
    <row r="5061" spans="4:4" x14ac:dyDescent="0.3">
      <c r="D5061" s="348"/>
    </row>
    <row r="5062" spans="4:4" x14ac:dyDescent="0.3">
      <c r="D5062" s="348"/>
    </row>
    <row r="5063" spans="4:4" x14ac:dyDescent="0.3">
      <c r="D5063" s="348"/>
    </row>
    <row r="5064" spans="4:4" x14ac:dyDescent="0.3">
      <c r="D5064" s="348"/>
    </row>
    <row r="5065" spans="4:4" x14ac:dyDescent="0.3">
      <c r="D5065" s="348"/>
    </row>
    <row r="5066" spans="4:4" x14ac:dyDescent="0.3">
      <c r="D5066" s="348"/>
    </row>
    <row r="5067" spans="4:4" x14ac:dyDescent="0.3">
      <c r="D5067" s="348"/>
    </row>
    <row r="5068" spans="4:4" x14ac:dyDescent="0.3">
      <c r="D5068" s="348"/>
    </row>
    <row r="5069" spans="4:4" x14ac:dyDescent="0.3">
      <c r="D5069" s="348"/>
    </row>
    <row r="5070" spans="4:4" x14ac:dyDescent="0.3">
      <c r="D5070" s="348"/>
    </row>
    <row r="5071" spans="4:4" x14ac:dyDescent="0.3">
      <c r="D5071" s="348"/>
    </row>
    <row r="5072" spans="4:4" x14ac:dyDescent="0.3">
      <c r="D5072" s="348"/>
    </row>
    <row r="5073" spans="4:4" x14ac:dyDescent="0.3">
      <c r="D5073" s="348"/>
    </row>
    <row r="5074" spans="4:4" x14ac:dyDescent="0.3">
      <c r="D5074" s="348"/>
    </row>
    <row r="5075" spans="4:4" x14ac:dyDescent="0.3">
      <c r="D5075" s="348"/>
    </row>
    <row r="5076" spans="4:4" x14ac:dyDescent="0.3">
      <c r="D5076" s="348"/>
    </row>
    <row r="5077" spans="4:4" x14ac:dyDescent="0.3">
      <c r="D5077" s="348"/>
    </row>
    <row r="5078" spans="4:4" x14ac:dyDescent="0.3">
      <c r="D5078" s="348"/>
    </row>
    <row r="5079" spans="4:4" x14ac:dyDescent="0.3">
      <c r="D5079" s="348"/>
    </row>
    <row r="5080" spans="4:4" x14ac:dyDescent="0.3">
      <c r="D5080" s="348"/>
    </row>
    <row r="5081" spans="4:4" x14ac:dyDescent="0.3">
      <c r="D5081" s="348"/>
    </row>
    <row r="5082" spans="4:4" x14ac:dyDescent="0.3">
      <c r="D5082" s="348"/>
    </row>
    <row r="5083" spans="4:4" x14ac:dyDescent="0.3">
      <c r="D5083" s="348"/>
    </row>
    <row r="5084" spans="4:4" x14ac:dyDescent="0.3">
      <c r="D5084" s="348"/>
    </row>
    <row r="5085" spans="4:4" x14ac:dyDescent="0.3">
      <c r="D5085" s="348"/>
    </row>
    <row r="5086" spans="4:4" x14ac:dyDescent="0.3">
      <c r="D5086" s="348"/>
    </row>
    <row r="5087" spans="4:4" x14ac:dyDescent="0.3">
      <c r="D5087" s="348"/>
    </row>
    <row r="5088" spans="4:4" x14ac:dyDescent="0.3">
      <c r="D5088" s="348"/>
    </row>
    <row r="5089" spans="4:4" x14ac:dyDescent="0.3">
      <c r="D5089" s="348"/>
    </row>
    <row r="5090" spans="4:4" x14ac:dyDescent="0.3">
      <c r="D5090" s="348"/>
    </row>
    <row r="5091" spans="4:4" x14ac:dyDescent="0.3">
      <c r="D5091" s="348"/>
    </row>
    <row r="5092" spans="4:4" x14ac:dyDescent="0.3">
      <c r="D5092" s="348"/>
    </row>
    <row r="5093" spans="4:4" x14ac:dyDescent="0.3">
      <c r="D5093" s="348"/>
    </row>
    <row r="5094" spans="4:4" x14ac:dyDescent="0.3">
      <c r="D5094" s="348"/>
    </row>
    <row r="5095" spans="4:4" x14ac:dyDescent="0.3">
      <c r="D5095" s="348"/>
    </row>
    <row r="5096" spans="4:4" x14ac:dyDescent="0.3">
      <c r="D5096" s="348"/>
    </row>
    <row r="5097" spans="4:4" x14ac:dyDescent="0.3">
      <c r="D5097" s="348"/>
    </row>
    <row r="5098" spans="4:4" x14ac:dyDescent="0.3">
      <c r="D5098" s="348"/>
    </row>
    <row r="5099" spans="4:4" x14ac:dyDescent="0.3">
      <c r="D5099" s="348"/>
    </row>
    <row r="5100" spans="4:4" x14ac:dyDescent="0.3">
      <c r="D5100" s="348"/>
    </row>
    <row r="5101" spans="4:4" x14ac:dyDescent="0.3">
      <c r="D5101" s="348"/>
    </row>
    <row r="5102" spans="4:4" x14ac:dyDescent="0.3">
      <c r="D5102" s="348"/>
    </row>
    <row r="5103" spans="4:4" x14ac:dyDescent="0.3">
      <c r="D5103" s="348"/>
    </row>
    <row r="5104" spans="4:4" x14ac:dyDescent="0.3">
      <c r="D5104" s="348"/>
    </row>
    <row r="5105" spans="4:4" x14ac:dyDescent="0.3">
      <c r="D5105" s="348"/>
    </row>
    <row r="5106" spans="4:4" x14ac:dyDescent="0.3">
      <c r="D5106" s="348"/>
    </row>
    <row r="5107" spans="4:4" x14ac:dyDescent="0.3">
      <c r="D5107" s="348"/>
    </row>
    <row r="5108" spans="4:4" x14ac:dyDescent="0.3">
      <c r="D5108" s="348"/>
    </row>
    <row r="5109" spans="4:4" x14ac:dyDescent="0.3">
      <c r="D5109" s="348"/>
    </row>
    <row r="5110" spans="4:4" x14ac:dyDescent="0.3">
      <c r="D5110" s="348"/>
    </row>
    <row r="5111" spans="4:4" x14ac:dyDescent="0.3">
      <c r="D5111" s="348"/>
    </row>
    <row r="5112" spans="4:4" x14ac:dyDescent="0.3">
      <c r="D5112" s="348"/>
    </row>
    <row r="5113" spans="4:4" x14ac:dyDescent="0.3">
      <c r="D5113" s="348"/>
    </row>
    <row r="5114" spans="4:4" x14ac:dyDescent="0.3">
      <c r="D5114" s="348"/>
    </row>
    <row r="5115" spans="4:4" x14ac:dyDescent="0.3">
      <c r="D5115" s="348"/>
    </row>
    <row r="5116" spans="4:4" x14ac:dyDescent="0.3">
      <c r="D5116" s="348"/>
    </row>
    <row r="5117" spans="4:4" x14ac:dyDescent="0.3">
      <c r="D5117" s="348"/>
    </row>
    <row r="5118" spans="4:4" x14ac:dyDescent="0.3">
      <c r="D5118" s="348"/>
    </row>
    <row r="5119" spans="4:4" x14ac:dyDescent="0.3">
      <c r="D5119" s="348"/>
    </row>
    <row r="5120" spans="4:4" x14ac:dyDescent="0.3">
      <c r="D5120" s="348"/>
    </row>
    <row r="5121" spans="4:4" x14ac:dyDescent="0.3">
      <c r="D5121" s="348"/>
    </row>
    <row r="5122" spans="4:4" x14ac:dyDescent="0.3">
      <c r="D5122" s="348"/>
    </row>
    <row r="5123" spans="4:4" x14ac:dyDescent="0.3">
      <c r="D5123" s="348"/>
    </row>
    <row r="5124" spans="4:4" x14ac:dyDescent="0.3">
      <c r="D5124" s="348"/>
    </row>
    <row r="5125" spans="4:4" x14ac:dyDescent="0.3">
      <c r="D5125" s="348"/>
    </row>
    <row r="5126" spans="4:4" x14ac:dyDescent="0.3">
      <c r="D5126" s="348"/>
    </row>
    <row r="5127" spans="4:4" x14ac:dyDescent="0.3">
      <c r="D5127" s="348"/>
    </row>
    <row r="5128" spans="4:4" x14ac:dyDescent="0.3">
      <c r="D5128" s="348"/>
    </row>
    <row r="5129" spans="4:4" x14ac:dyDescent="0.3">
      <c r="D5129" s="348"/>
    </row>
    <row r="5130" spans="4:4" x14ac:dyDescent="0.3">
      <c r="D5130" s="348"/>
    </row>
    <row r="5131" spans="4:4" x14ac:dyDescent="0.3">
      <c r="D5131" s="348"/>
    </row>
    <row r="5132" spans="4:4" x14ac:dyDescent="0.3">
      <c r="D5132" s="348"/>
    </row>
    <row r="5133" spans="4:4" x14ac:dyDescent="0.3">
      <c r="D5133" s="348"/>
    </row>
    <row r="5134" spans="4:4" x14ac:dyDescent="0.3">
      <c r="D5134" s="348"/>
    </row>
    <row r="5135" spans="4:4" x14ac:dyDescent="0.3">
      <c r="D5135" s="348"/>
    </row>
    <row r="5136" spans="4:4" x14ac:dyDescent="0.3">
      <c r="D5136" s="348"/>
    </row>
    <row r="5137" spans="4:4" x14ac:dyDescent="0.3">
      <c r="D5137" s="348"/>
    </row>
    <row r="5138" spans="4:4" x14ac:dyDescent="0.3">
      <c r="D5138" s="348"/>
    </row>
    <row r="5139" spans="4:4" x14ac:dyDescent="0.3">
      <c r="D5139" s="348"/>
    </row>
    <row r="5140" spans="4:4" x14ac:dyDescent="0.3">
      <c r="D5140" s="348"/>
    </row>
    <row r="5141" spans="4:4" x14ac:dyDescent="0.3">
      <c r="D5141" s="348"/>
    </row>
    <row r="5142" spans="4:4" x14ac:dyDescent="0.3">
      <c r="D5142" s="348"/>
    </row>
    <row r="5143" spans="4:4" x14ac:dyDescent="0.3">
      <c r="D5143" s="348"/>
    </row>
    <row r="5144" spans="4:4" x14ac:dyDescent="0.3">
      <c r="D5144" s="348"/>
    </row>
    <row r="5145" spans="4:4" x14ac:dyDescent="0.3">
      <c r="D5145" s="348"/>
    </row>
    <row r="5146" spans="4:4" x14ac:dyDescent="0.3">
      <c r="D5146" s="348"/>
    </row>
    <row r="5147" spans="4:4" x14ac:dyDescent="0.3">
      <c r="D5147" s="348"/>
    </row>
    <row r="5148" spans="4:4" x14ac:dyDescent="0.3">
      <c r="D5148" s="348"/>
    </row>
    <row r="5149" spans="4:4" x14ac:dyDescent="0.3">
      <c r="D5149" s="348"/>
    </row>
    <row r="5150" spans="4:4" x14ac:dyDescent="0.3">
      <c r="D5150" s="348"/>
    </row>
    <row r="5151" spans="4:4" x14ac:dyDescent="0.3">
      <c r="D5151" s="348"/>
    </row>
    <row r="5152" spans="4:4" x14ac:dyDescent="0.3">
      <c r="D5152" s="348"/>
    </row>
    <row r="5153" spans="4:4" x14ac:dyDescent="0.3">
      <c r="D5153" s="348"/>
    </row>
    <row r="5154" spans="4:4" x14ac:dyDescent="0.3">
      <c r="D5154" s="348"/>
    </row>
    <row r="5155" spans="4:4" x14ac:dyDescent="0.3">
      <c r="D5155" s="348"/>
    </row>
    <row r="5156" spans="4:4" x14ac:dyDescent="0.3">
      <c r="D5156" s="348"/>
    </row>
    <row r="5157" spans="4:4" x14ac:dyDescent="0.3">
      <c r="D5157" s="348"/>
    </row>
    <row r="5158" spans="4:4" x14ac:dyDescent="0.3">
      <c r="D5158" s="348"/>
    </row>
    <row r="5159" spans="4:4" x14ac:dyDescent="0.3">
      <c r="D5159" s="348"/>
    </row>
    <row r="5160" spans="4:4" x14ac:dyDescent="0.3">
      <c r="D5160" s="348"/>
    </row>
    <row r="5161" spans="4:4" x14ac:dyDescent="0.3">
      <c r="D5161" s="348"/>
    </row>
    <row r="5162" spans="4:4" x14ac:dyDescent="0.3">
      <c r="D5162" s="348"/>
    </row>
    <row r="5163" spans="4:4" x14ac:dyDescent="0.3">
      <c r="D5163" s="348"/>
    </row>
    <row r="5164" spans="4:4" x14ac:dyDescent="0.3">
      <c r="D5164" s="348"/>
    </row>
    <row r="5165" spans="4:4" x14ac:dyDescent="0.3">
      <c r="D5165" s="348"/>
    </row>
    <row r="5166" spans="4:4" x14ac:dyDescent="0.3">
      <c r="D5166" s="348"/>
    </row>
    <row r="5167" spans="4:4" x14ac:dyDescent="0.3">
      <c r="D5167" s="348"/>
    </row>
    <row r="5168" spans="4:4" x14ac:dyDescent="0.3">
      <c r="D5168" s="348"/>
    </row>
    <row r="5169" spans="4:4" x14ac:dyDescent="0.3">
      <c r="D5169" s="348"/>
    </row>
    <row r="5170" spans="4:4" x14ac:dyDescent="0.3">
      <c r="D5170" s="348"/>
    </row>
    <row r="5171" spans="4:4" x14ac:dyDescent="0.3">
      <c r="D5171" s="348"/>
    </row>
    <row r="5172" spans="4:4" x14ac:dyDescent="0.3">
      <c r="D5172" s="348"/>
    </row>
    <row r="5173" spans="4:4" x14ac:dyDescent="0.3">
      <c r="D5173" s="348"/>
    </row>
    <row r="5174" spans="4:4" x14ac:dyDescent="0.3">
      <c r="D5174" s="348"/>
    </row>
    <row r="5175" spans="4:4" x14ac:dyDescent="0.3">
      <c r="D5175" s="348"/>
    </row>
    <row r="5176" spans="4:4" x14ac:dyDescent="0.3">
      <c r="D5176" s="348"/>
    </row>
    <row r="5177" spans="4:4" x14ac:dyDescent="0.3">
      <c r="D5177" s="348"/>
    </row>
    <row r="5178" spans="4:4" x14ac:dyDescent="0.3">
      <c r="D5178" s="348"/>
    </row>
    <row r="5179" spans="4:4" x14ac:dyDescent="0.3">
      <c r="D5179" s="348"/>
    </row>
    <row r="5180" spans="4:4" x14ac:dyDescent="0.3">
      <c r="D5180" s="348"/>
    </row>
    <row r="5181" spans="4:4" x14ac:dyDescent="0.3">
      <c r="D5181" s="348"/>
    </row>
    <row r="5182" spans="4:4" x14ac:dyDescent="0.3">
      <c r="D5182" s="348"/>
    </row>
    <row r="5183" spans="4:4" x14ac:dyDescent="0.3">
      <c r="D5183" s="348"/>
    </row>
    <row r="5184" spans="4:4" x14ac:dyDescent="0.3">
      <c r="D5184" s="348"/>
    </row>
    <row r="5185" spans="4:4" x14ac:dyDescent="0.3">
      <c r="D5185" s="348"/>
    </row>
    <row r="5186" spans="4:4" x14ac:dyDescent="0.3">
      <c r="D5186" s="348"/>
    </row>
    <row r="5187" spans="4:4" x14ac:dyDescent="0.3">
      <c r="D5187" s="348"/>
    </row>
    <row r="5188" spans="4:4" x14ac:dyDescent="0.3">
      <c r="D5188" s="348"/>
    </row>
    <row r="5189" spans="4:4" x14ac:dyDescent="0.3">
      <c r="D5189" s="348"/>
    </row>
    <row r="5190" spans="4:4" x14ac:dyDescent="0.3">
      <c r="D5190" s="348"/>
    </row>
    <row r="5191" spans="4:4" x14ac:dyDescent="0.3">
      <c r="D5191" s="348"/>
    </row>
    <row r="5192" spans="4:4" x14ac:dyDescent="0.3">
      <c r="D5192" s="348"/>
    </row>
    <row r="5193" spans="4:4" x14ac:dyDescent="0.3">
      <c r="D5193" s="348"/>
    </row>
    <row r="5194" spans="4:4" x14ac:dyDescent="0.3">
      <c r="D5194" s="348"/>
    </row>
    <row r="5195" spans="4:4" x14ac:dyDescent="0.3">
      <c r="D5195" s="348"/>
    </row>
    <row r="5196" spans="4:4" x14ac:dyDescent="0.3">
      <c r="D5196" s="348"/>
    </row>
    <row r="5197" spans="4:4" x14ac:dyDescent="0.3">
      <c r="D5197" s="348"/>
    </row>
    <row r="5198" spans="4:4" x14ac:dyDescent="0.3">
      <c r="D5198" s="348"/>
    </row>
    <row r="5199" spans="4:4" x14ac:dyDescent="0.3">
      <c r="D5199" s="348"/>
    </row>
    <row r="5200" spans="4:4" x14ac:dyDescent="0.3">
      <c r="D5200" s="348"/>
    </row>
    <row r="5201" spans="4:4" x14ac:dyDescent="0.3">
      <c r="D5201" s="348"/>
    </row>
    <row r="5202" spans="4:4" x14ac:dyDescent="0.3">
      <c r="D5202" s="348"/>
    </row>
    <row r="5203" spans="4:4" x14ac:dyDescent="0.3">
      <c r="D5203" s="348"/>
    </row>
    <row r="5204" spans="4:4" x14ac:dyDescent="0.3">
      <c r="D5204" s="348"/>
    </row>
    <row r="5205" spans="4:4" x14ac:dyDescent="0.3">
      <c r="D5205" s="348"/>
    </row>
    <row r="5206" spans="4:4" x14ac:dyDescent="0.3">
      <c r="D5206" s="348"/>
    </row>
    <row r="5207" spans="4:4" x14ac:dyDescent="0.3">
      <c r="D5207" s="348"/>
    </row>
    <row r="5208" spans="4:4" x14ac:dyDescent="0.3">
      <c r="D5208" s="348"/>
    </row>
    <row r="5209" spans="4:4" x14ac:dyDescent="0.3">
      <c r="D5209" s="348"/>
    </row>
    <row r="5210" spans="4:4" x14ac:dyDescent="0.3">
      <c r="D5210" s="348"/>
    </row>
    <row r="5211" spans="4:4" x14ac:dyDescent="0.3">
      <c r="D5211" s="348"/>
    </row>
    <row r="5212" spans="4:4" x14ac:dyDescent="0.3">
      <c r="D5212" s="348"/>
    </row>
    <row r="5213" spans="4:4" x14ac:dyDescent="0.3">
      <c r="D5213" s="348"/>
    </row>
    <row r="5214" spans="4:4" x14ac:dyDescent="0.3">
      <c r="D5214" s="348"/>
    </row>
    <row r="5215" spans="4:4" x14ac:dyDescent="0.3">
      <c r="D5215" s="348"/>
    </row>
    <row r="5216" spans="4:4" x14ac:dyDescent="0.3">
      <c r="D5216" s="348"/>
    </row>
    <row r="5217" spans="4:4" x14ac:dyDescent="0.3">
      <c r="D5217" s="348"/>
    </row>
    <row r="5218" spans="4:4" x14ac:dyDescent="0.3">
      <c r="D5218" s="348"/>
    </row>
    <row r="5219" spans="4:4" x14ac:dyDescent="0.3">
      <c r="D5219" s="348"/>
    </row>
    <row r="5220" spans="4:4" x14ac:dyDescent="0.3">
      <c r="D5220" s="348"/>
    </row>
    <row r="5221" spans="4:4" x14ac:dyDescent="0.3">
      <c r="D5221" s="348"/>
    </row>
    <row r="5222" spans="4:4" x14ac:dyDescent="0.3">
      <c r="D5222" s="348"/>
    </row>
    <row r="5223" spans="4:4" x14ac:dyDescent="0.3">
      <c r="D5223" s="348"/>
    </row>
    <row r="5224" spans="4:4" x14ac:dyDescent="0.3">
      <c r="D5224" s="348"/>
    </row>
    <row r="5225" spans="4:4" x14ac:dyDescent="0.3">
      <c r="D5225" s="348"/>
    </row>
    <row r="5226" spans="4:4" x14ac:dyDescent="0.3">
      <c r="D5226" s="348"/>
    </row>
    <row r="5227" spans="4:4" x14ac:dyDescent="0.3">
      <c r="D5227" s="348"/>
    </row>
    <row r="5228" spans="4:4" x14ac:dyDescent="0.3">
      <c r="D5228" s="348"/>
    </row>
    <row r="5229" spans="4:4" x14ac:dyDescent="0.3">
      <c r="D5229" s="348"/>
    </row>
    <row r="5230" spans="4:4" x14ac:dyDescent="0.3">
      <c r="D5230" s="348"/>
    </row>
    <row r="5231" spans="4:4" x14ac:dyDescent="0.3">
      <c r="D5231" s="348"/>
    </row>
    <row r="5232" spans="4:4" x14ac:dyDescent="0.3">
      <c r="D5232" s="348"/>
    </row>
    <row r="5233" spans="4:4" x14ac:dyDescent="0.3">
      <c r="D5233" s="348"/>
    </row>
    <row r="5234" spans="4:4" x14ac:dyDescent="0.3">
      <c r="D5234" s="348"/>
    </row>
    <row r="5235" spans="4:4" x14ac:dyDescent="0.3">
      <c r="D5235" s="348"/>
    </row>
    <row r="5236" spans="4:4" x14ac:dyDescent="0.3">
      <c r="D5236" s="348"/>
    </row>
    <row r="5237" spans="4:4" x14ac:dyDescent="0.3">
      <c r="D5237" s="348"/>
    </row>
    <row r="5238" spans="4:4" x14ac:dyDescent="0.3">
      <c r="D5238" s="348"/>
    </row>
    <row r="5239" spans="4:4" x14ac:dyDescent="0.3">
      <c r="D5239" s="348"/>
    </row>
    <row r="5240" spans="4:4" x14ac:dyDescent="0.3">
      <c r="D5240" s="348"/>
    </row>
    <row r="5241" spans="4:4" x14ac:dyDescent="0.3">
      <c r="D5241" s="348"/>
    </row>
    <row r="5242" spans="4:4" x14ac:dyDescent="0.3">
      <c r="D5242" s="348"/>
    </row>
    <row r="5243" spans="4:4" x14ac:dyDescent="0.3">
      <c r="D5243" s="348"/>
    </row>
    <row r="5244" spans="4:4" x14ac:dyDescent="0.3">
      <c r="D5244" s="348"/>
    </row>
    <row r="5245" spans="4:4" x14ac:dyDescent="0.3">
      <c r="D5245" s="348"/>
    </row>
    <row r="5246" spans="4:4" x14ac:dyDescent="0.3">
      <c r="D5246" s="348"/>
    </row>
    <row r="5247" spans="4:4" x14ac:dyDescent="0.3">
      <c r="D5247" s="348"/>
    </row>
    <row r="5248" spans="4:4" x14ac:dyDescent="0.3">
      <c r="D5248" s="348"/>
    </row>
    <row r="5249" spans="4:4" x14ac:dyDescent="0.3">
      <c r="D5249" s="348"/>
    </row>
    <row r="5250" spans="4:4" x14ac:dyDescent="0.3">
      <c r="D5250" s="348"/>
    </row>
    <row r="5251" spans="4:4" x14ac:dyDescent="0.3">
      <c r="D5251" s="348"/>
    </row>
    <row r="5252" spans="4:4" x14ac:dyDescent="0.3">
      <c r="D5252" s="348"/>
    </row>
    <row r="5253" spans="4:4" x14ac:dyDescent="0.3">
      <c r="D5253" s="348"/>
    </row>
    <row r="5254" spans="4:4" x14ac:dyDescent="0.3">
      <c r="D5254" s="348"/>
    </row>
    <row r="5255" spans="4:4" x14ac:dyDescent="0.3">
      <c r="D5255" s="348"/>
    </row>
    <row r="5256" spans="4:4" x14ac:dyDescent="0.3">
      <c r="D5256" s="348"/>
    </row>
    <row r="5257" spans="4:4" x14ac:dyDescent="0.3">
      <c r="D5257" s="348"/>
    </row>
    <row r="5258" spans="4:4" x14ac:dyDescent="0.3">
      <c r="D5258" s="348"/>
    </row>
    <row r="5259" spans="4:4" x14ac:dyDescent="0.3">
      <c r="D5259" s="348"/>
    </row>
    <row r="5260" spans="4:4" x14ac:dyDescent="0.3">
      <c r="D5260" s="348"/>
    </row>
    <row r="5261" spans="4:4" x14ac:dyDescent="0.3">
      <c r="D5261" s="348"/>
    </row>
    <row r="5262" spans="4:4" x14ac:dyDescent="0.3">
      <c r="D5262" s="348"/>
    </row>
    <row r="5263" spans="4:4" x14ac:dyDescent="0.3">
      <c r="D5263" s="348"/>
    </row>
    <row r="5264" spans="4:4" x14ac:dyDescent="0.3">
      <c r="D5264" s="348"/>
    </row>
    <row r="5265" spans="4:4" x14ac:dyDescent="0.3">
      <c r="D5265" s="348"/>
    </row>
    <row r="5266" spans="4:4" x14ac:dyDescent="0.3">
      <c r="D5266" s="348"/>
    </row>
    <row r="5267" spans="4:4" x14ac:dyDescent="0.3">
      <c r="D5267" s="348"/>
    </row>
    <row r="5268" spans="4:4" x14ac:dyDescent="0.3">
      <c r="D5268" s="348"/>
    </row>
    <row r="5269" spans="4:4" x14ac:dyDescent="0.3">
      <c r="D5269" s="348"/>
    </row>
    <row r="5270" spans="4:4" x14ac:dyDescent="0.3">
      <c r="D5270" s="348"/>
    </row>
    <row r="5271" spans="4:4" x14ac:dyDescent="0.3">
      <c r="D5271" s="348"/>
    </row>
    <row r="5272" spans="4:4" x14ac:dyDescent="0.3">
      <c r="D5272" s="348"/>
    </row>
    <row r="5273" spans="4:4" x14ac:dyDescent="0.3">
      <c r="D5273" s="348"/>
    </row>
    <row r="5274" spans="4:4" x14ac:dyDescent="0.3">
      <c r="D5274" s="348"/>
    </row>
    <row r="5275" spans="4:4" x14ac:dyDescent="0.3">
      <c r="D5275" s="348"/>
    </row>
    <row r="5276" spans="4:4" x14ac:dyDescent="0.3">
      <c r="D5276" s="348"/>
    </row>
    <row r="5277" spans="4:4" x14ac:dyDescent="0.3">
      <c r="D5277" s="348"/>
    </row>
    <row r="5278" spans="4:4" x14ac:dyDescent="0.3">
      <c r="D5278" s="348"/>
    </row>
    <row r="5279" spans="4:4" x14ac:dyDescent="0.3">
      <c r="D5279" s="348"/>
    </row>
    <row r="5280" spans="4:4" x14ac:dyDescent="0.3">
      <c r="D5280" s="348"/>
    </row>
    <row r="5281" spans="4:4" x14ac:dyDescent="0.3">
      <c r="D5281" s="348"/>
    </row>
    <row r="5282" spans="4:4" x14ac:dyDescent="0.3">
      <c r="D5282" s="348"/>
    </row>
    <row r="5283" spans="4:4" x14ac:dyDescent="0.3">
      <c r="D5283" s="348"/>
    </row>
    <row r="5284" spans="4:4" x14ac:dyDescent="0.3">
      <c r="D5284" s="348"/>
    </row>
    <row r="5285" spans="4:4" x14ac:dyDescent="0.3">
      <c r="D5285" s="348"/>
    </row>
    <row r="5286" spans="4:4" x14ac:dyDescent="0.3">
      <c r="D5286" s="348"/>
    </row>
    <row r="5287" spans="4:4" x14ac:dyDescent="0.3">
      <c r="D5287" s="348"/>
    </row>
    <row r="5288" spans="4:4" x14ac:dyDescent="0.3">
      <c r="D5288" s="348"/>
    </row>
    <row r="5289" spans="4:4" x14ac:dyDescent="0.3">
      <c r="D5289" s="348"/>
    </row>
    <row r="5290" spans="4:4" x14ac:dyDescent="0.3">
      <c r="D5290" s="348"/>
    </row>
    <row r="5291" spans="4:4" x14ac:dyDescent="0.3">
      <c r="D5291" s="348"/>
    </row>
    <row r="5292" spans="4:4" x14ac:dyDescent="0.3">
      <c r="D5292" s="348"/>
    </row>
    <row r="5293" spans="4:4" x14ac:dyDescent="0.3">
      <c r="D5293" s="348"/>
    </row>
    <row r="5294" spans="4:4" x14ac:dyDescent="0.3">
      <c r="D5294" s="348"/>
    </row>
    <row r="5295" spans="4:4" x14ac:dyDescent="0.3">
      <c r="D5295" s="348"/>
    </row>
    <row r="5296" spans="4:4" x14ac:dyDescent="0.3">
      <c r="D5296" s="348"/>
    </row>
    <row r="5297" spans="4:4" x14ac:dyDescent="0.3">
      <c r="D5297" s="348"/>
    </row>
    <row r="5298" spans="4:4" x14ac:dyDescent="0.3">
      <c r="D5298" s="348"/>
    </row>
    <row r="5299" spans="4:4" x14ac:dyDescent="0.3">
      <c r="D5299" s="348"/>
    </row>
    <row r="5300" spans="4:4" x14ac:dyDescent="0.3">
      <c r="D5300" s="348"/>
    </row>
    <row r="5301" spans="4:4" x14ac:dyDescent="0.3">
      <c r="D5301" s="348"/>
    </row>
    <row r="5302" spans="4:4" x14ac:dyDescent="0.3">
      <c r="D5302" s="348"/>
    </row>
    <row r="5303" spans="4:4" x14ac:dyDescent="0.3">
      <c r="D5303" s="348"/>
    </row>
    <row r="5304" spans="4:4" x14ac:dyDescent="0.3">
      <c r="D5304" s="348"/>
    </row>
    <row r="5305" spans="4:4" x14ac:dyDescent="0.3">
      <c r="D5305" s="348"/>
    </row>
    <row r="5306" spans="4:4" x14ac:dyDescent="0.3">
      <c r="D5306" s="348"/>
    </row>
    <row r="5307" spans="4:4" x14ac:dyDescent="0.3">
      <c r="D5307" s="348"/>
    </row>
    <row r="5308" spans="4:4" x14ac:dyDescent="0.3">
      <c r="D5308" s="348"/>
    </row>
    <row r="5309" spans="4:4" x14ac:dyDescent="0.3">
      <c r="D5309" s="348"/>
    </row>
    <row r="5310" spans="4:4" x14ac:dyDescent="0.3">
      <c r="D5310" s="348"/>
    </row>
    <row r="5311" spans="4:4" x14ac:dyDescent="0.3">
      <c r="D5311" s="348"/>
    </row>
    <row r="5312" spans="4:4" x14ac:dyDescent="0.3">
      <c r="D5312" s="348"/>
    </row>
    <row r="5313" spans="4:4" x14ac:dyDescent="0.3">
      <c r="D5313" s="348"/>
    </row>
    <row r="5314" spans="4:4" x14ac:dyDescent="0.3">
      <c r="D5314" s="348"/>
    </row>
    <row r="5315" spans="4:4" x14ac:dyDescent="0.3">
      <c r="D5315" s="348"/>
    </row>
    <row r="5316" spans="4:4" x14ac:dyDescent="0.3">
      <c r="D5316" s="348"/>
    </row>
    <row r="5317" spans="4:4" x14ac:dyDescent="0.3">
      <c r="D5317" s="348"/>
    </row>
    <row r="5318" spans="4:4" x14ac:dyDescent="0.3">
      <c r="D5318" s="348"/>
    </row>
    <row r="5319" spans="4:4" x14ac:dyDescent="0.3">
      <c r="D5319" s="348"/>
    </row>
    <row r="5320" spans="4:4" x14ac:dyDescent="0.3">
      <c r="D5320" s="348"/>
    </row>
    <row r="5321" spans="4:4" x14ac:dyDescent="0.3">
      <c r="D5321" s="348"/>
    </row>
    <row r="5322" spans="4:4" x14ac:dyDescent="0.3">
      <c r="D5322" s="348"/>
    </row>
    <row r="5323" spans="4:4" x14ac:dyDescent="0.3">
      <c r="D5323" s="348"/>
    </row>
    <row r="5324" spans="4:4" x14ac:dyDescent="0.3">
      <c r="D5324" s="348"/>
    </row>
    <row r="5325" spans="4:4" x14ac:dyDescent="0.3">
      <c r="D5325" s="348"/>
    </row>
    <row r="5326" spans="4:4" x14ac:dyDescent="0.3">
      <c r="D5326" s="348"/>
    </row>
    <row r="5327" spans="4:4" x14ac:dyDescent="0.3">
      <c r="D5327" s="348"/>
    </row>
    <row r="5328" spans="4:4" x14ac:dyDescent="0.3">
      <c r="D5328" s="348"/>
    </row>
    <row r="5329" spans="4:4" x14ac:dyDescent="0.3">
      <c r="D5329" s="348"/>
    </row>
    <row r="5330" spans="4:4" x14ac:dyDescent="0.3">
      <c r="D5330" s="348"/>
    </row>
    <row r="5331" spans="4:4" x14ac:dyDescent="0.3">
      <c r="D5331" s="348"/>
    </row>
    <row r="5332" spans="4:4" x14ac:dyDescent="0.3">
      <c r="D5332" s="348"/>
    </row>
    <row r="5333" spans="4:4" x14ac:dyDescent="0.3">
      <c r="D5333" s="348"/>
    </row>
    <row r="5334" spans="4:4" x14ac:dyDescent="0.3">
      <c r="D5334" s="348"/>
    </row>
    <row r="5335" spans="4:4" x14ac:dyDescent="0.3">
      <c r="D5335" s="348"/>
    </row>
    <row r="5336" spans="4:4" x14ac:dyDescent="0.3">
      <c r="D5336" s="348"/>
    </row>
    <row r="5337" spans="4:4" x14ac:dyDescent="0.3">
      <c r="D5337" s="348"/>
    </row>
    <row r="5338" spans="4:4" x14ac:dyDescent="0.3">
      <c r="D5338" s="348"/>
    </row>
    <row r="5339" spans="4:4" x14ac:dyDescent="0.3">
      <c r="D5339" s="348"/>
    </row>
    <row r="5340" spans="4:4" x14ac:dyDescent="0.3">
      <c r="D5340" s="348"/>
    </row>
    <row r="5341" spans="4:4" x14ac:dyDescent="0.3">
      <c r="D5341" s="348"/>
    </row>
    <row r="5342" spans="4:4" x14ac:dyDescent="0.3">
      <c r="D5342" s="348"/>
    </row>
    <row r="5343" spans="4:4" x14ac:dyDescent="0.3">
      <c r="D5343" s="348"/>
    </row>
    <row r="5344" spans="4:4" x14ac:dyDescent="0.3">
      <c r="D5344" s="348"/>
    </row>
    <row r="5345" spans="4:4" x14ac:dyDescent="0.3">
      <c r="D5345" s="348"/>
    </row>
    <row r="5346" spans="4:4" x14ac:dyDescent="0.3">
      <c r="D5346" s="348"/>
    </row>
    <row r="5347" spans="4:4" x14ac:dyDescent="0.3">
      <c r="D5347" s="348"/>
    </row>
    <row r="5348" spans="4:4" x14ac:dyDescent="0.3">
      <c r="D5348" s="348"/>
    </row>
    <row r="5349" spans="4:4" x14ac:dyDescent="0.3">
      <c r="D5349" s="348"/>
    </row>
    <row r="5350" spans="4:4" x14ac:dyDescent="0.3">
      <c r="D5350" s="348"/>
    </row>
    <row r="5351" spans="4:4" x14ac:dyDescent="0.3">
      <c r="D5351" s="348"/>
    </row>
    <row r="5352" spans="4:4" x14ac:dyDescent="0.3">
      <c r="D5352" s="348"/>
    </row>
    <row r="5353" spans="4:4" x14ac:dyDescent="0.3">
      <c r="D5353" s="348"/>
    </row>
    <row r="5354" spans="4:4" x14ac:dyDescent="0.3">
      <c r="D5354" s="348"/>
    </row>
    <row r="5355" spans="4:4" x14ac:dyDescent="0.3">
      <c r="D5355" s="348"/>
    </row>
    <row r="5356" spans="4:4" x14ac:dyDescent="0.3">
      <c r="D5356" s="348"/>
    </row>
    <row r="5357" spans="4:4" x14ac:dyDescent="0.3">
      <c r="D5357" s="348"/>
    </row>
    <row r="5358" spans="4:4" x14ac:dyDescent="0.3">
      <c r="D5358" s="348"/>
    </row>
    <row r="5359" spans="4:4" x14ac:dyDescent="0.3">
      <c r="D5359" s="348"/>
    </row>
    <row r="5360" spans="4:4" x14ac:dyDescent="0.3">
      <c r="D5360" s="348"/>
    </row>
    <row r="5361" spans="4:4" x14ac:dyDescent="0.3">
      <c r="D5361" s="348"/>
    </row>
    <row r="5362" spans="4:4" x14ac:dyDescent="0.3">
      <c r="D5362" s="348"/>
    </row>
    <row r="5363" spans="4:4" x14ac:dyDescent="0.3">
      <c r="D5363" s="348"/>
    </row>
    <row r="5364" spans="4:4" x14ac:dyDescent="0.3">
      <c r="D5364" s="348"/>
    </row>
    <row r="5365" spans="4:4" x14ac:dyDescent="0.3">
      <c r="D5365" s="348"/>
    </row>
    <row r="5366" spans="4:4" x14ac:dyDescent="0.3">
      <c r="D5366" s="348"/>
    </row>
    <row r="5367" spans="4:4" x14ac:dyDescent="0.3">
      <c r="D5367" s="348"/>
    </row>
    <row r="5368" spans="4:4" x14ac:dyDescent="0.3">
      <c r="D5368" s="348"/>
    </row>
    <row r="5369" spans="4:4" x14ac:dyDescent="0.3">
      <c r="D5369" s="348"/>
    </row>
    <row r="5370" spans="4:4" x14ac:dyDescent="0.3">
      <c r="D5370" s="348"/>
    </row>
    <row r="5371" spans="4:4" x14ac:dyDescent="0.3">
      <c r="D5371" s="348"/>
    </row>
    <row r="5372" spans="4:4" x14ac:dyDescent="0.3">
      <c r="D5372" s="348"/>
    </row>
    <row r="5373" spans="4:4" x14ac:dyDescent="0.3">
      <c r="D5373" s="348"/>
    </row>
    <row r="5374" spans="4:4" x14ac:dyDescent="0.3">
      <c r="D5374" s="348"/>
    </row>
    <row r="5375" spans="4:4" x14ac:dyDescent="0.3">
      <c r="D5375" s="348"/>
    </row>
    <row r="5376" spans="4:4" x14ac:dyDescent="0.3">
      <c r="D5376" s="348"/>
    </row>
    <row r="5377" spans="4:4" x14ac:dyDescent="0.3">
      <c r="D5377" s="348"/>
    </row>
    <row r="5378" spans="4:4" x14ac:dyDescent="0.3">
      <c r="D5378" s="348"/>
    </row>
    <row r="5379" spans="4:4" x14ac:dyDescent="0.3">
      <c r="D5379" s="348"/>
    </row>
    <row r="5380" spans="4:4" x14ac:dyDescent="0.3">
      <c r="D5380" s="348"/>
    </row>
    <row r="5381" spans="4:4" x14ac:dyDescent="0.3">
      <c r="D5381" s="348"/>
    </row>
    <row r="5382" spans="4:4" x14ac:dyDescent="0.3">
      <c r="D5382" s="348"/>
    </row>
    <row r="5383" spans="4:4" x14ac:dyDescent="0.3">
      <c r="D5383" s="348"/>
    </row>
    <row r="5384" spans="4:4" x14ac:dyDescent="0.3">
      <c r="D5384" s="348"/>
    </row>
    <row r="5385" spans="4:4" x14ac:dyDescent="0.3">
      <c r="D5385" s="348"/>
    </row>
    <row r="5386" spans="4:4" x14ac:dyDescent="0.3">
      <c r="D5386" s="348"/>
    </row>
    <row r="5387" spans="4:4" x14ac:dyDescent="0.3">
      <c r="D5387" s="348"/>
    </row>
    <row r="5388" spans="4:4" x14ac:dyDescent="0.3">
      <c r="D5388" s="348"/>
    </row>
    <row r="5389" spans="4:4" x14ac:dyDescent="0.3">
      <c r="D5389" s="348"/>
    </row>
    <row r="5390" spans="4:4" x14ac:dyDescent="0.3">
      <c r="D5390" s="348"/>
    </row>
    <row r="5391" spans="4:4" x14ac:dyDescent="0.3">
      <c r="D5391" s="348"/>
    </row>
    <row r="5392" spans="4:4" x14ac:dyDescent="0.3">
      <c r="D5392" s="348"/>
    </row>
    <row r="5393" spans="4:4" x14ac:dyDescent="0.3">
      <c r="D5393" s="348"/>
    </row>
    <row r="5394" spans="4:4" x14ac:dyDescent="0.3">
      <c r="D5394" s="348"/>
    </row>
    <row r="5395" spans="4:4" x14ac:dyDescent="0.3">
      <c r="D5395" s="348"/>
    </row>
    <row r="5396" spans="4:4" x14ac:dyDescent="0.3">
      <c r="D5396" s="348"/>
    </row>
    <row r="5397" spans="4:4" x14ac:dyDescent="0.3">
      <c r="D5397" s="348"/>
    </row>
    <row r="5398" spans="4:4" x14ac:dyDescent="0.3">
      <c r="D5398" s="348"/>
    </row>
    <row r="5399" spans="4:4" x14ac:dyDescent="0.3">
      <c r="D5399" s="348"/>
    </row>
    <row r="5400" spans="4:4" x14ac:dyDescent="0.3">
      <c r="D5400" s="348"/>
    </row>
    <row r="5401" spans="4:4" x14ac:dyDescent="0.3">
      <c r="D5401" s="348"/>
    </row>
    <row r="5402" spans="4:4" x14ac:dyDescent="0.3">
      <c r="D5402" s="348"/>
    </row>
    <row r="5403" spans="4:4" x14ac:dyDescent="0.3">
      <c r="D5403" s="348"/>
    </row>
    <row r="5404" spans="4:4" x14ac:dyDescent="0.3">
      <c r="D5404" s="348"/>
    </row>
    <row r="5405" spans="4:4" x14ac:dyDescent="0.3">
      <c r="D5405" s="348"/>
    </row>
    <row r="5406" spans="4:4" x14ac:dyDescent="0.3">
      <c r="D5406" s="348"/>
    </row>
    <row r="5407" spans="4:4" x14ac:dyDescent="0.3">
      <c r="D5407" s="348"/>
    </row>
    <row r="5408" spans="4:4" x14ac:dyDescent="0.3">
      <c r="D5408" s="348"/>
    </row>
    <row r="5409" spans="4:4" x14ac:dyDescent="0.3">
      <c r="D5409" s="348"/>
    </row>
    <row r="5410" spans="4:4" x14ac:dyDescent="0.3">
      <c r="D5410" s="348"/>
    </row>
    <row r="5411" spans="4:4" x14ac:dyDescent="0.3">
      <c r="D5411" s="348"/>
    </row>
    <row r="5412" spans="4:4" x14ac:dyDescent="0.3">
      <c r="D5412" s="348"/>
    </row>
    <row r="5413" spans="4:4" x14ac:dyDescent="0.3">
      <c r="D5413" s="348"/>
    </row>
    <row r="5414" spans="4:4" x14ac:dyDescent="0.3">
      <c r="D5414" s="348"/>
    </row>
    <row r="5415" spans="4:4" x14ac:dyDescent="0.3">
      <c r="D5415" s="348"/>
    </row>
    <row r="5416" spans="4:4" x14ac:dyDescent="0.3">
      <c r="D5416" s="348"/>
    </row>
    <row r="5417" spans="4:4" x14ac:dyDescent="0.3">
      <c r="D5417" s="348"/>
    </row>
    <row r="5418" spans="4:4" x14ac:dyDescent="0.3">
      <c r="D5418" s="348"/>
    </row>
    <row r="5419" spans="4:4" x14ac:dyDescent="0.3">
      <c r="D5419" s="348"/>
    </row>
    <row r="5420" spans="4:4" x14ac:dyDescent="0.3">
      <c r="D5420" s="348"/>
    </row>
    <row r="5421" spans="4:4" x14ac:dyDescent="0.3">
      <c r="D5421" s="348"/>
    </row>
    <row r="5422" spans="4:4" x14ac:dyDescent="0.3">
      <c r="D5422" s="348"/>
    </row>
    <row r="5423" spans="4:4" x14ac:dyDescent="0.3">
      <c r="D5423" s="348"/>
    </row>
    <row r="5424" spans="4:4" x14ac:dyDescent="0.3">
      <c r="D5424" s="348"/>
    </row>
    <row r="5425" spans="4:4" x14ac:dyDescent="0.3">
      <c r="D5425" s="348"/>
    </row>
    <row r="5426" spans="4:4" x14ac:dyDescent="0.3">
      <c r="D5426" s="348"/>
    </row>
    <row r="5427" spans="4:4" x14ac:dyDescent="0.3">
      <c r="D5427" s="348"/>
    </row>
    <row r="5428" spans="4:4" x14ac:dyDescent="0.3">
      <c r="D5428" s="348"/>
    </row>
    <row r="5429" spans="4:4" x14ac:dyDescent="0.3">
      <c r="D5429" s="348"/>
    </row>
    <row r="5430" spans="4:4" x14ac:dyDescent="0.3">
      <c r="D5430" s="348"/>
    </row>
    <row r="5431" spans="4:4" x14ac:dyDescent="0.3">
      <c r="D5431" s="348"/>
    </row>
    <row r="5432" spans="4:4" x14ac:dyDescent="0.3">
      <c r="D5432" s="348"/>
    </row>
    <row r="5433" spans="4:4" x14ac:dyDescent="0.3">
      <c r="D5433" s="348"/>
    </row>
    <row r="5434" spans="4:4" x14ac:dyDescent="0.3">
      <c r="D5434" s="348"/>
    </row>
    <row r="5435" spans="4:4" x14ac:dyDescent="0.3">
      <c r="D5435" s="348"/>
    </row>
    <row r="5436" spans="4:4" x14ac:dyDescent="0.3">
      <c r="D5436" s="348"/>
    </row>
    <row r="5437" spans="4:4" x14ac:dyDescent="0.3">
      <c r="D5437" s="348"/>
    </row>
    <row r="5438" spans="4:4" x14ac:dyDescent="0.3">
      <c r="D5438" s="348"/>
    </row>
    <row r="5439" spans="4:4" x14ac:dyDescent="0.3">
      <c r="D5439" s="348"/>
    </row>
    <row r="5440" spans="4:4" x14ac:dyDescent="0.3">
      <c r="D5440" s="348"/>
    </row>
    <row r="5441" spans="4:4" x14ac:dyDescent="0.3">
      <c r="D5441" s="348"/>
    </row>
    <row r="5442" spans="4:4" x14ac:dyDescent="0.3">
      <c r="D5442" s="348"/>
    </row>
    <row r="5443" spans="4:4" x14ac:dyDescent="0.3">
      <c r="D5443" s="348"/>
    </row>
    <row r="5444" spans="4:4" x14ac:dyDescent="0.3">
      <c r="D5444" s="348"/>
    </row>
    <row r="5445" spans="4:4" x14ac:dyDescent="0.3">
      <c r="D5445" s="348"/>
    </row>
    <row r="5446" spans="4:4" x14ac:dyDescent="0.3">
      <c r="D5446" s="348"/>
    </row>
    <row r="5447" spans="4:4" x14ac:dyDescent="0.3">
      <c r="D5447" s="348"/>
    </row>
    <row r="5448" spans="4:4" x14ac:dyDescent="0.3">
      <c r="D5448" s="348"/>
    </row>
    <row r="5449" spans="4:4" x14ac:dyDescent="0.3">
      <c r="D5449" s="348"/>
    </row>
    <row r="5450" spans="4:4" x14ac:dyDescent="0.3">
      <c r="D5450" s="348"/>
    </row>
    <row r="5451" spans="4:4" x14ac:dyDescent="0.3">
      <c r="D5451" s="348"/>
    </row>
    <row r="5452" spans="4:4" x14ac:dyDescent="0.3">
      <c r="D5452" s="348"/>
    </row>
    <row r="5453" spans="4:4" x14ac:dyDescent="0.3">
      <c r="D5453" s="348"/>
    </row>
    <row r="5454" spans="4:4" x14ac:dyDescent="0.3">
      <c r="D5454" s="348"/>
    </row>
    <row r="5455" spans="4:4" x14ac:dyDescent="0.3">
      <c r="D5455" s="348"/>
    </row>
    <row r="5456" spans="4:4" x14ac:dyDescent="0.3">
      <c r="D5456" s="348"/>
    </row>
    <row r="5457" spans="4:4" x14ac:dyDescent="0.3">
      <c r="D5457" s="348"/>
    </row>
    <row r="5458" spans="4:4" x14ac:dyDescent="0.3">
      <c r="D5458" s="348"/>
    </row>
    <row r="5459" spans="4:4" x14ac:dyDescent="0.3">
      <c r="D5459" s="348"/>
    </row>
    <row r="5460" spans="4:4" x14ac:dyDescent="0.3">
      <c r="D5460" s="348"/>
    </row>
    <row r="5461" spans="4:4" x14ac:dyDescent="0.3">
      <c r="D5461" s="348"/>
    </row>
    <row r="5462" spans="4:4" x14ac:dyDescent="0.3">
      <c r="D5462" s="348"/>
    </row>
    <row r="5463" spans="4:4" x14ac:dyDescent="0.3">
      <c r="D5463" s="348"/>
    </row>
    <row r="5464" spans="4:4" x14ac:dyDescent="0.3">
      <c r="D5464" s="348"/>
    </row>
    <row r="5465" spans="4:4" x14ac:dyDescent="0.3">
      <c r="D5465" s="348"/>
    </row>
    <row r="5466" spans="4:4" x14ac:dyDescent="0.3">
      <c r="D5466" s="348"/>
    </row>
    <row r="5467" spans="4:4" x14ac:dyDescent="0.3">
      <c r="D5467" s="348"/>
    </row>
    <row r="5468" spans="4:4" x14ac:dyDescent="0.3">
      <c r="D5468" s="348"/>
    </row>
    <row r="5469" spans="4:4" x14ac:dyDescent="0.3">
      <c r="D5469" s="348"/>
    </row>
    <row r="5470" spans="4:4" x14ac:dyDescent="0.3">
      <c r="D5470" s="348"/>
    </row>
    <row r="5471" spans="4:4" x14ac:dyDescent="0.3">
      <c r="D5471" s="348"/>
    </row>
    <row r="5472" spans="4:4" x14ac:dyDescent="0.3">
      <c r="D5472" s="348"/>
    </row>
    <row r="5473" spans="4:4" x14ac:dyDescent="0.3">
      <c r="D5473" s="348"/>
    </row>
    <row r="5474" spans="4:4" x14ac:dyDescent="0.3">
      <c r="D5474" s="348"/>
    </row>
    <row r="5475" spans="4:4" x14ac:dyDescent="0.3">
      <c r="D5475" s="348"/>
    </row>
    <row r="5476" spans="4:4" x14ac:dyDescent="0.3">
      <c r="D5476" s="348"/>
    </row>
    <row r="5477" spans="4:4" x14ac:dyDescent="0.3">
      <c r="D5477" s="348"/>
    </row>
    <row r="5478" spans="4:4" x14ac:dyDescent="0.3">
      <c r="D5478" s="348"/>
    </row>
    <row r="5479" spans="4:4" x14ac:dyDescent="0.3">
      <c r="D5479" s="348"/>
    </row>
    <row r="5480" spans="4:4" x14ac:dyDescent="0.3">
      <c r="D5480" s="348"/>
    </row>
    <row r="5481" spans="4:4" x14ac:dyDescent="0.3">
      <c r="D5481" s="348"/>
    </row>
    <row r="5482" spans="4:4" x14ac:dyDescent="0.3">
      <c r="D5482" s="348"/>
    </row>
    <row r="5483" spans="4:4" x14ac:dyDescent="0.3">
      <c r="D5483" s="348"/>
    </row>
    <row r="5484" spans="4:4" x14ac:dyDescent="0.3">
      <c r="D5484" s="348"/>
    </row>
    <row r="5485" spans="4:4" x14ac:dyDescent="0.3">
      <c r="D5485" s="348"/>
    </row>
    <row r="5486" spans="4:4" x14ac:dyDescent="0.3">
      <c r="D5486" s="348"/>
    </row>
    <row r="5487" spans="4:4" x14ac:dyDescent="0.3">
      <c r="D5487" s="348"/>
    </row>
    <row r="5488" spans="4:4" x14ac:dyDescent="0.3">
      <c r="D5488" s="348"/>
    </row>
    <row r="5489" spans="4:4" x14ac:dyDescent="0.3">
      <c r="D5489" s="348"/>
    </row>
    <row r="5490" spans="4:4" x14ac:dyDescent="0.3">
      <c r="D5490" s="348"/>
    </row>
    <row r="5491" spans="4:4" x14ac:dyDescent="0.3">
      <c r="D5491" s="348"/>
    </row>
    <row r="5492" spans="4:4" x14ac:dyDescent="0.3">
      <c r="D5492" s="348"/>
    </row>
    <row r="5493" spans="4:4" x14ac:dyDescent="0.3">
      <c r="D5493" s="348"/>
    </row>
    <row r="5494" spans="4:4" x14ac:dyDescent="0.3">
      <c r="D5494" s="348"/>
    </row>
    <row r="5495" spans="4:4" x14ac:dyDescent="0.3">
      <c r="D5495" s="348"/>
    </row>
    <row r="5496" spans="4:4" x14ac:dyDescent="0.3">
      <c r="D5496" s="348"/>
    </row>
    <row r="5497" spans="4:4" x14ac:dyDescent="0.3">
      <c r="D5497" s="348"/>
    </row>
    <row r="5498" spans="4:4" x14ac:dyDescent="0.3">
      <c r="D5498" s="348"/>
    </row>
    <row r="5499" spans="4:4" x14ac:dyDescent="0.3">
      <c r="D5499" s="348"/>
    </row>
    <row r="5500" spans="4:4" x14ac:dyDescent="0.3">
      <c r="D5500" s="348"/>
    </row>
    <row r="5501" spans="4:4" x14ac:dyDescent="0.3">
      <c r="D5501" s="348"/>
    </row>
    <row r="5502" spans="4:4" x14ac:dyDescent="0.3">
      <c r="D5502" s="348"/>
    </row>
    <row r="5503" spans="4:4" x14ac:dyDescent="0.3">
      <c r="D5503" s="348"/>
    </row>
    <row r="5504" spans="4:4" x14ac:dyDescent="0.3">
      <c r="D5504" s="348"/>
    </row>
    <row r="5505" spans="4:4" x14ac:dyDescent="0.3">
      <c r="D5505" s="348"/>
    </row>
    <row r="5506" spans="4:4" x14ac:dyDescent="0.3">
      <c r="D5506" s="348"/>
    </row>
    <row r="5507" spans="4:4" x14ac:dyDescent="0.3">
      <c r="D5507" s="348"/>
    </row>
    <row r="5508" spans="4:4" x14ac:dyDescent="0.3">
      <c r="D5508" s="348"/>
    </row>
    <row r="5509" spans="4:4" x14ac:dyDescent="0.3">
      <c r="D5509" s="348"/>
    </row>
    <row r="5510" spans="4:4" x14ac:dyDescent="0.3">
      <c r="D5510" s="348"/>
    </row>
    <row r="5511" spans="4:4" x14ac:dyDescent="0.3">
      <c r="D5511" s="348"/>
    </row>
    <row r="5512" spans="4:4" x14ac:dyDescent="0.3">
      <c r="D5512" s="348"/>
    </row>
    <row r="5513" spans="4:4" x14ac:dyDescent="0.3">
      <c r="D5513" s="348"/>
    </row>
    <row r="5514" spans="4:4" x14ac:dyDescent="0.3">
      <c r="D5514" s="348"/>
    </row>
    <row r="5515" spans="4:4" x14ac:dyDescent="0.3">
      <c r="D5515" s="348"/>
    </row>
    <row r="5516" spans="4:4" x14ac:dyDescent="0.3">
      <c r="D5516" s="348"/>
    </row>
    <row r="5517" spans="4:4" x14ac:dyDescent="0.3">
      <c r="D5517" s="348"/>
    </row>
    <row r="5518" spans="4:4" x14ac:dyDescent="0.3">
      <c r="D5518" s="348"/>
    </row>
    <row r="5519" spans="4:4" x14ac:dyDescent="0.3">
      <c r="D5519" s="348"/>
    </row>
    <row r="5520" spans="4:4" x14ac:dyDescent="0.3">
      <c r="D5520" s="348"/>
    </row>
    <row r="5521" spans="4:4" x14ac:dyDescent="0.3">
      <c r="D5521" s="348"/>
    </row>
    <row r="5522" spans="4:4" x14ac:dyDescent="0.3">
      <c r="D5522" s="348"/>
    </row>
    <row r="5523" spans="4:4" x14ac:dyDescent="0.3">
      <c r="D5523" s="348"/>
    </row>
    <row r="5524" spans="4:4" x14ac:dyDescent="0.3">
      <c r="D5524" s="348"/>
    </row>
    <row r="5525" spans="4:4" x14ac:dyDescent="0.3">
      <c r="D5525" s="348"/>
    </row>
    <row r="5526" spans="4:4" x14ac:dyDescent="0.3">
      <c r="D5526" s="348"/>
    </row>
    <row r="5527" spans="4:4" x14ac:dyDescent="0.3">
      <c r="D5527" s="348"/>
    </row>
    <row r="5528" spans="4:4" x14ac:dyDescent="0.3">
      <c r="D5528" s="348"/>
    </row>
    <row r="5529" spans="4:4" x14ac:dyDescent="0.3">
      <c r="D5529" s="348"/>
    </row>
    <row r="5530" spans="4:4" x14ac:dyDescent="0.3">
      <c r="D5530" s="348"/>
    </row>
    <row r="5531" spans="4:4" x14ac:dyDescent="0.3">
      <c r="D5531" s="348"/>
    </row>
    <row r="5532" spans="4:4" x14ac:dyDescent="0.3">
      <c r="D5532" s="348"/>
    </row>
    <row r="5533" spans="4:4" x14ac:dyDescent="0.3">
      <c r="D5533" s="348"/>
    </row>
    <row r="5534" spans="4:4" x14ac:dyDescent="0.3">
      <c r="D5534" s="348"/>
    </row>
    <row r="5535" spans="4:4" x14ac:dyDescent="0.3">
      <c r="D5535" s="348"/>
    </row>
    <row r="5536" spans="4:4" x14ac:dyDescent="0.3">
      <c r="D5536" s="348"/>
    </row>
    <row r="5537" spans="4:4" x14ac:dyDescent="0.3">
      <c r="D5537" s="348"/>
    </row>
    <row r="5538" spans="4:4" x14ac:dyDescent="0.3">
      <c r="D5538" s="348"/>
    </row>
    <row r="5539" spans="4:4" x14ac:dyDescent="0.3">
      <c r="D5539" s="348"/>
    </row>
    <row r="5540" spans="4:4" x14ac:dyDescent="0.3">
      <c r="D5540" s="348"/>
    </row>
    <row r="5541" spans="4:4" x14ac:dyDescent="0.3">
      <c r="D5541" s="348"/>
    </row>
    <row r="5542" spans="4:4" x14ac:dyDescent="0.3">
      <c r="D5542" s="348"/>
    </row>
    <row r="5543" spans="4:4" x14ac:dyDescent="0.3">
      <c r="D5543" s="348"/>
    </row>
    <row r="5544" spans="4:4" x14ac:dyDescent="0.3">
      <c r="D5544" s="348"/>
    </row>
    <row r="5545" spans="4:4" x14ac:dyDescent="0.3">
      <c r="D5545" s="348"/>
    </row>
    <row r="5546" spans="4:4" x14ac:dyDescent="0.3">
      <c r="D5546" s="348"/>
    </row>
    <row r="5547" spans="4:4" x14ac:dyDescent="0.3">
      <c r="D5547" s="348"/>
    </row>
    <row r="5548" spans="4:4" x14ac:dyDescent="0.3">
      <c r="D5548" s="348"/>
    </row>
    <row r="5549" spans="4:4" x14ac:dyDescent="0.3">
      <c r="D5549" s="348"/>
    </row>
    <row r="5550" spans="4:4" x14ac:dyDescent="0.3">
      <c r="D5550" s="348"/>
    </row>
    <row r="5551" spans="4:4" x14ac:dyDescent="0.3">
      <c r="D5551" s="348"/>
    </row>
    <row r="5552" spans="4:4" x14ac:dyDescent="0.3">
      <c r="D5552" s="348"/>
    </row>
    <row r="5553" spans="4:4" x14ac:dyDescent="0.3">
      <c r="D5553" s="348"/>
    </row>
    <row r="5554" spans="4:4" x14ac:dyDescent="0.3">
      <c r="D5554" s="348"/>
    </row>
    <row r="5555" spans="4:4" x14ac:dyDescent="0.3">
      <c r="D5555" s="348"/>
    </row>
    <row r="5556" spans="4:4" x14ac:dyDescent="0.3">
      <c r="D5556" s="348"/>
    </row>
    <row r="5557" spans="4:4" x14ac:dyDescent="0.3">
      <c r="D5557" s="348"/>
    </row>
    <row r="5558" spans="4:4" x14ac:dyDescent="0.3">
      <c r="D5558" s="348"/>
    </row>
    <row r="5559" spans="4:4" x14ac:dyDescent="0.3">
      <c r="D5559" s="348"/>
    </row>
    <row r="5560" spans="4:4" x14ac:dyDescent="0.3">
      <c r="D5560" s="348"/>
    </row>
    <row r="5561" spans="4:4" x14ac:dyDescent="0.3">
      <c r="D5561" s="348"/>
    </row>
    <row r="5562" spans="4:4" x14ac:dyDescent="0.3">
      <c r="D5562" s="348"/>
    </row>
    <row r="5563" spans="4:4" x14ac:dyDescent="0.3">
      <c r="D5563" s="348"/>
    </row>
    <row r="5564" spans="4:4" x14ac:dyDescent="0.3">
      <c r="D5564" s="348"/>
    </row>
    <row r="5565" spans="4:4" x14ac:dyDescent="0.3">
      <c r="D5565" s="348"/>
    </row>
    <row r="5566" spans="4:4" x14ac:dyDescent="0.3">
      <c r="D5566" s="348"/>
    </row>
    <row r="5567" spans="4:4" x14ac:dyDescent="0.3">
      <c r="D5567" s="348"/>
    </row>
    <row r="5568" spans="4:4" x14ac:dyDescent="0.3">
      <c r="D5568" s="348"/>
    </row>
    <row r="5569" spans="4:4" x14ac:dyDescent="0.3">
      <c r="D5569" s="348"/>
    </row>
    <row r="5570" spans="4:4" x14ac:dyDescent="0.3">
      <c r="D5570" s="348"/>
    </row>
    <row r="5571" spans="4:4" x14ac:dyDescent="0.3">
      <c r="D5571" s="348"/>
    </row>
    <row r="5572" spans="4:4" x14ac:dyDescent="0.3">
      <c r="D5572" s="348"/>
    </row>
    <row r="5573" spans="4:4" x14ac:dyDescent="0.3">
      <c r="D5573" s="348"/>
    </row>
    <row r="5574" spans="4:4" x14ac:dyDescent="0.3">
      <c r="D5574" s="348"/>
    </row>
    <row r="5575" spans="4:4" x14ac:dyDescent="0.3">
      <c r="D5575" s="348"/>
    </row>
    <row r="5576" spans="4:4" x14ac:dyDescent="0.3">
      <c r="D5576" s="348"/>
    </row>
    <row r="5577" spans="4:4" x14ac:dyDescent="0.3">
      <c r="D5577" s="348"/>
    </row>
    <row r="5578" spans="4:4" x14ac:dyDescent="0.3">
      <c r="D5578" s="348"/>
    </row>
    <row r="5579" spans="4:4" x14ac:dyDescent="0.3">
      <c r="D5579" s="348"/>
    </row>
    <row r="5580" spans="4:4" x14ac:dyDescent="0.3">
      <c r="D5580" s="348"/>
    </row>
    <row r="5581" spans="4:4" x14ac:dyDescent="0.3">
      <c r="D5581" s="348"/>
    </row>
    <row r="5582" spans="4:4" x14ac:dyDescent="0.3">
      <c r="D5582" s="348"/>
    </row>
    <row r="5583" spans="4:4" x14ac:dyDescent="0.3">
      <c r="D5583" s="348"/>
    </row>
    <row r="5584" spans="4:4" x14ac:dyDescent="0.3">
      <c r="D5584" s="348"/>
    </row>
    <row r="5585" spans="4:4" x14ac:dyDescent="0.3">
      <c r="D5585" s="348"/>
    </row>
    <row r="5586" spans="4:4" x14ac:dyDescent="0.3">
      <c r="D5586" s="348"/>
    </row>
    <row r="5587" spans="4:4" x14ac:dyDescent="0.3">
      <c r="D5587" s="348"/>
    </row>
    <row r="5588" spans="4:4" x14ac:dyDescent="0.3">
      <c r="D5588" s="348"/>
    </row>
    <row r="5589" spans="4:4" x14ac:dyDescent="0.3">
      <c r="D5589" s="348"/>
    </row>
    <row r="5590" spans="4:4" x14ac:dyDescent="0.3">
      <c r="D5590" s="348"/>
    </row>
    <row r="5591" spans="4:4" x14ac:dyDescent="0.3">
      <c r="D5591" s="348"/>
    </row>
    <row r="5592" spans="4:4" x14ac:dyDescent="0.3">
      <c r="D5592" s="348"/>
    </row>
    <row r="5593" spans="4:4" x14ac:dyDescent="0.3">
      <c r="D5593" s="348"/>
    </row>
    <row r="5594" spans="4:4" x14ac:dyDescent="0.3">
      <c r="D5594" s="348"/>
    </row>
    <row r="5595" spans="4:4" x14ac:dyDescent="0.3">
      <c r="D5595" s="348"/>
    </row>
    <row r="5596" spans="4:4" x14ac:dyDescent="0.3">
      <c r="D5596" s="348"/>
    </row>
    <row r="5597" spans="4:4" x14ac:dyDescent="0.3">
      <c r="D5597" s="348"/>
    </row>
    <row r="5598" spans="4:4" x14ac:dyDescent="0.3">
      <c r="D5598" s="348"/>
    </row>
    <row r="5599" spans="4:4" x14ac:dyDescent="0.3">
      <c r="D5599" s="348"/>
    </row>
    <row r="5600" spans="4:4" x14ac:dyDescent="0.3">
      <c r="D5600" s="348"/>
    </row>
    <row r="5601" spans="4:4" x14ac:dyDescent="0.3">
      <c r="D5601" s="348"/>
    </row>
    <row r="5602" spans="4:4" x14ac:dyDescent="0.3">
      <c r="D5602" s="348"/>
    </row>
    <row r="5603" spans="4:4" x14ac:dyDescent="0.3">
      <c r="D5603" s="348"/>
    </row>
    <row r="5604" spans="4:4" x14ac:dyDescent="0.3">
      <c r="D5604" s="348"/>
    </row>
    <row r="5605" spans="4:4" x14ac:dyDescent="0.3">
      <c r="D5605" s="348"/>
    </row>
    <row r="5606" spans="4:4" x14ac:dyDescent="0.3">
      <c r="D5606" s="348"/>
    </row>
    <row r="5607" spans="4:4" x14ac:dyDescent="0.3">
      <c r="D5607" s="348"/>
    </row>
    <row r="5608" spans="4:4" x14ac:dyDescent="0.3">
      <c r="D5608" s="348"/>
    </row>
    <row r="5609" spans="4:4" x14ac:dyDescent="0.3">
      <c r="D5609" s="348"/>
    </row>
    <row r="5610" spans="4:4" x14ac:dyDescent="0.3">
      <c r="D5610" s="348"/>
    </row>
    <row r="5611" spans="4:4" x14ac:dyDescent="0.3">
      <c r="D5611" s="348"/>
    </row>
    <row r="5612" spans="4:4" x14ac:dyDescent="0.3">
      <c r="D5612" s="348"/>
    </row>
    <row r="5613" spans="4:4" x14ac:dyDescent="0.3">
      <c r="D5613" s="348"/>
    </row>
    <row r="5614" spans="4:4" x14ac:dyDescent="0.3">
      <c r="D5614" s="348"/>
    </row>
    <row r="5615" spans="4:4" x14ac:dyDescent="0.3">
      <c r="D5615" s="348"/>
    </row>
    <row r="5616" spans="4:4" x14ac:dyDescent="0.3">
      <c r="D5616" s="348"/>
    </row>
    <row r="5617" spans="4:4" x14ac:dyDescent="0.3">
      <c r="D5617" s="348"/>
    </row>
    <row r="5618" spans="4:4" x14ac:dyDescent="0.3">
      <c r="D5618" s="348"/>
    </row>
    <row r="5619" spans="4:4" x14ac:dyDescent="0.3">
      <c r="D5619" s="348"/>
    </row>
    <row r="5620" spans="4:4" x14ac:dyDescent="0.3">
      <c r="D5620" s="348"/>
    </row>
    <row r="5621" spans="4:4" x14ac:dyDescent="0.3">
      <c r="D5621" s="348"/>
    </row>
    <row r="5622" spans="4:4" x14ac:dyDescent="0.3">
      <c r="D5622" s="348"/>
    </row>
    <row r="5623" spans="4:4" x14ac:dyDescent="0.3">
      <c r="D5623" s="348"/>
    </row>
    <row r="5624" spans="4:4" x14ac:dyDescent="0.3">
      <c r="D5624" s="348"/>
    </row>
    <row r="5625" spans="4:4" x14ac:dyDescent="0.3">
      <c r="D5625" s="348"/>
    </row>
    <row r="5626" spans="4:4" x14ac:dyDescent="0.3">
      <c r="D5626" s="348"/>
    </row>
    <row r="5627" spans="4:4" x14ac:dyDescent="0.3">
      <c r="D5627" s="348"/>
    </row>
    <row r="5628" spans="4:4" x14ac:dyDescent="0.3">
      <c r="D5628" s="348"/>
    </row>
    <row r="5629" spans="4:4" x14ac:dyDescent="0.3">
      <c r="D5629" s="348"/>
    </row>
    <row r="5630" spans="4:4" x14ac:dyDescent="0.3">
      <c r="D5630" s="348"/>
    </row>
    <row r="5631" spans="4:4" x14ac:dyDescent="0.3">
      <c r="D5631" s="348"/>
    </row>
    <row r="5632" spans="4:4" x14ac:dyDescent="0.3">
      <c r="D5632" s="348"/>
    </row>
    <row r="5633" spans="4:4" x14ac:dyDescent="0.3">
      <c r="D5633" s="348"/>
    </row>
    <row r="5634" spans="4:4" x14ac:dyDescent="0.3">
      <c r="D5634" s="348"/>
    </row>
    <row r="5635" spans="4:4" x14ac:dyDescent="0.3">
      <c r="D5635" s="348"/>
    </row>
    <row r="5636" spans="4:4" x14ac:dyDescent="0.3">
      <c r="D5636" s="348"/>
    </row>
    <row r="5637" spans="4:4" x14ac:dyDescent="0.3">
      <c r="D5637" s="348"/>
    </row>
    <row r="5638" spans="4:4" x14ac:dyDescent="0.3">
      <c r="D5638" s="348"/>
    </row>
    <row r="5639" spans="4:4" x14ac:dyDescent="0.3">
      <c r="D5639" s="348"/>
    </row>
    <row r="5640" spans="4:4" x14ac:dyDescent="0.3">
      <c r="D5640" s="348"/>
    </row>
    <row r="5641" spans="4:4" x14ac:dyDescent="0.3">
      <c r="D5641" s="348"/>
    </row>
    <row r="5642" spans="4:4" x14ac:dyDescent="0.3">
      <c r="D5642" s="348"/>
    </row>
    <row r="5643" spans="4:4" x14ac:dyDescent="0.3">
      <c r="D5643" s="348"/>
    </row>
    <row r="5644" spans="4:4" x14ac:dyDescent="0.3">
      <c r="D5644" s="348"/>
    </row>
    <row r="5645" spans="4:4" x14ac:dyDescent="0.3">
      <c r="D5645" s="348"/>
    </row>
    <row r="5646" spans="4:4" x14ac:dyDescent="0.3">
      <c r="D5646" s="348"/>
    </row>
    <row r="5647" spans="4:4" x14ac:dyDescent="0.3">
      <c r="D5647" s="348"/>
    </row>
    <row r="5648" spans="4:4" x14ac:dyDescent="0.3">
      <c r="D5648" s="348"/>
    </row>
    <row r="5649" spans="4:4" x14ac:dyDescent="0.3">
      <c r="D5649" s="348"/>
    </row>
    <row r="5650" spans="4:4" x14ac:dyDescent="0.3">
      <c r="D5650" s="348"/>
    </row>
    <row r="5651" spans="4:4" x14ac:dyDescent="0.3">
      <c r="D5651" s="348"/>
    </row>
    <row r="5652" spans="4:4" x14ac:dyDescent="0.3">
      <c r="D5652" s="348"/>
    </row>
    <row r="5653" spans="4:4" x14ac:dyDescent="0.3">
      <c r="D5653" s="348"/>
    </row>
    <row r="5654" spans="4:4" x14ac:dyDescent="0.3">
      <c r="D5654" s="348"/>
    </row>
    <row r="5655" spans="4:4" x14ac:dyDescent="0.3">
      <c r="D5655" s="348"/>
    </row>
    <row r="5656" spans="4:4" x14ac:dyDescent="0.3">
      <c r="D5656" s="348"/>
    </row>
    <row r="5657" spans="4:4" x14ac:dyDescent="0.3">
      <c r="D5657" s="348"/>
    </row>
    <row r="5658" spans="4:4" x14ac:dyDescent="0.3">
      <c r="D5658" s="348"/>
    </row>
    <row r="5659" spans="4:4" x14ac:dyDescent="0.3">
      <c r="D5659" s="348"/>
    </row>
    <row r="5660" spans="4:4" x14ac:dyDescent="0.3">
      <c r="D5660" s="348"/>
    </row>
    <row r="5661" spans="4:4" x14ac:dyDescent="0.3">
      <c r="D5661" s="348"/>
    </row>
    <row r="5662" spans="4:4" x14ac:dyDescent="0.3">
      <c r="D5662" s="348"/>
    </row>
    <row r="5663" spans="4:4" x14ac:dyDescent="0.3">
      <c r="D5663" s="348"/>
    </row>
    <row r="5664" spans="4:4" x14ac:dyDescent="0.3">
      <c r="D5664" s="348"/>
    </row>
    <row r="5665" spans="4:4" x14ac:dyDescent="0.3">
      <c r="D5665" s="348"/>
    </row>
    <row r="5666" spans="4:4" x14ac:dyDescent="0.3">
      <c r="D5666" s="348"/>
    </row>
    <row r="5667" spans="4:4" x14ac:dyDescent="0.3">
      <c r="D5667" s="348"/>
    </row>
    <row r="5668" spans="4:4" x14ac:dyDescent="0.3">
      <c r="D5668" s="348"/>
    </row>
    <row r="5669" spans="4:4" x14ac:dyDescent="0.3">
      <c r="D5669" s="348"/>
    </row>
    <row r="5670" spans="4:4" x14ac:dyDescent="0.3">
      <c r="D5670" s="348"/>
    </row>
    <row r="5671" spans="4:4" x14ac:dyDescent="0.3">
      <c r="D5671" s="348"/>
    </row>
    <row r="5672" spans="4:4" x14ac:dyDescent="0.3">
      <c r="D5672" s="348"/>
    </row>
    <row r="5673" spans="4:4" x14ac:dyDescent="0.3">
      <c r="D5673" s="348"/>
    </row>
    <row r="5674" spans="4:4" x14ac:dyDescent="0.3">
      <c r="D5674" s="348"/>
    </row>
    <row r="5675" spans="4:4" x14ac:dyDescent="0.3">
      <c r="D5675" s="348"/>
    </row>
    <row r="5676" spans="4:4" x14ac:dyDescent="0.3">
      <c r="D5676" s="348"/>
    </row>
    <row r="5677" spans="4:4" x14ac:dyDescent="0.3">
      <c r="D5677" s="348"/>
    </row>
    <row r="5678" spans="4:4" x14ac:dyDescent="0.3">
      <c r="D5678" s="348"/>
    </row>
    <row r="5679" spans="4:4" x14ac:dyDescent="0.3">
      <c r="D5679" s="348"/>
    </row>
    <row r="5680" spans="4:4" x14ac:dyDescent="0.3">
      <c r="D5680" s="348"/>
    </row>
    <row r="5681" spans="4:4" x14ac:dyDescent="0.3">
      <c r="D5681" s="348"/>
    </row>
    <row r="5682" spans="4:4" x14ac:dyDescent="0.3">
      <c r="D5682" s="348"/>
    </row>
    <row r="5683" spans="4:4" x14ac:dyDescent="0.3">
      <c r="D5683" s="348"/>
    </row>
    <row r="5684" spans="4:4" x14ac:dyDescent="0.3">
      <c r="D5684" s="348"/>
    </row>
    <row r="5685" spans="4:4" x14ac:dyDescent="0.3">
      <c r="D5685" s="348"/>
    </row>
    <row r="5686" spans="4:4" x14ac:dyDescent="0.3">
      <c r="D5686" s="348"/>
    </row>
    <row r="5687" spans="4:4" x14ac:dyDescent="0.3">
      <c r="D5687" s="348"/>
    </row>
    <row r="5688" spans="4:4" x14ac:dyDescent="0.3">
      <c r="D5688" s="348"/>
    </row>
    <row r="5689" spans="4:4" x14ac:dyDescent="0.3">
      <c r="D5689" s="348"/>
    </row>
    <row r="5690" spans="4:4" x14ac:dyDescent="0.3">
      <c r="D5690" s="348"/>
    </row>
    <row r="5691" spans="4:4" x14ac:dyDescent="0.3">
      <c r="D5691" s="348"/>
    </row>
    <row r="5692" spans="4:4" x14ac:dyDescent="0.3">
      <c r="D5692" s="348"/>
    </row>
    <row r="5693" spans="4:4" x14ac:dyDescent="0.3">
      <c r="D5693" s="348"/>
    </row>
    <row r="5694" spans="4:4" x14ac:dyDescent="0.3">
      <c r="D5694" s="348"/>
    </row>
    <row r="5695" spans="4:4" x14ac:dyDescent="0.3">
      <c r="D5695" s="348"/>
    </row>
    <row r="5696" spans="4:4" x14ac:dyDescent="0.3">
      <c r="D5696" s="348"/>
    </row>
    <row r="5697" spans="4:4" x14ac:dyDescent="0.3">
      <c r="D5697" s="348"/>
    </row>
    <row r="5698" spans="4:4" x14ac:dyDescent="0.3">
      <c r="D5698" s="348"/>
    </row>
    <row r="5699" spans="4:4" x14ac:dyDescent="0.3">
      <c r="D5699" s="348"/>
    </row>
    <row r="5700" spans="4:4" x14ac:dyDescent="0.3">
      <c r="D5700" s="348"/>
    </row>
    <row r="5701" spans="4:4" x14ac:dyDescent="0.3">
      <c r="D5701" s="348"/>
    </row>
    <row r="5702" spans="4:4" x14ac:dyDescent="0.3">
      <c r="D5702" s="348"/>
    </row>
    <row r="5703" spans="4:4" x14ac:dyDescent="0.3">
      <c r="D5703" s="348"/>
    </row>
    <row r="5704" spans="4:4" x14ac:dyDescent="0.3">
      <c r="D5704" s="348"/>
    </row>
    <row r="5705" spans="4:4" x14ac:dyDescent="0.3">
      <c r="D5705" s="348"/>
    </row>
    <row r="5706" spans="4:4" x14ac:dyDescent="0.3">
      <c r="D5706" s="348"/>
    </row>
    <row r="5707" spans="4:4" x14ac:dyDescent="0.3">
      <c r="D5707" s="348"/>
    </row>
    <row r="5708" spans="4:4" x14ac:dyDescent="0.3">
      <c r="D5708" s="348"/>
    </row>
    <row r="5709" spans="4:4" x14ac:dyDescent="0.3">
      <c r="D5709" s="348"/>
    </row>
    <row r="5710" spans="4:4" x14ac:dyDescent="0.3">
      <c r="D5710" s="348"/>
    </row>
    <row r="5711" spans="4:4" x14ac:dyDescent="0.3">
      <c r="D5711" s="348"/>
    </row>
    <row r="5712" spans="4:4" x14ac:dyDescent="0.3">
      <c r="D5712" s="348"/>
    </row>
    <row r="5713" spans="4:4" x14ac:dyDescent="0.3">
      <c r="D5713" s="348"/>
    </row>
    <row r="5714" spans="4:4" x14ac:dyDescent="0.3">
      <c r="D5714" s="348"/>
    </row>
    <row r="5715" spans="4:4" x14ac:dyDescent="0.3">
      <c r="D5715" s="348"/>
    </row>
    <row r="5716" spans="4:4" x14ac:dyDescent="0.3">
      <c r="D5716" s="348"/>
    </row>
    <row r="5717" spans="4:4" x14ac:dyDescent="0.3">
      <c r="D5717" s="348"/>
    </row>
    <row r="5718" spans="4:4" x14ac:dyDescent="0.3">
      <c r="D5718" s="348"/>
    </row>
    <row r="5719" spans="4:4" x14ac:dyDescent="0.3">
      <c r="D5719" s="348"/>
    </row>
    <row r="5720" spans="4:4" x14ac:dyDescent="0.3">
      <c r="D5720" s="348"/>
    </row>
    <row r="5721" spans="4:4" x14ac:dyDescent="0.3">
      <c r="D5721" s="348"/>
    </row>
    <row r="5722" spans="4:4" x14ac:dyDescent="0.3">
      <c r="D5722" s="348"/>
    </row>
    <row r="5723" spans="4:4" x14ac:dyDescent="0.3">
      <c r="D5723" s="348"/>
    </row>
    <row r="5724" spans="4:4" x14ac:dyDescent="0.3">
      <c r="D5724" s="348"/>
    </row>
    <row r="5725" spans="4:4" x14ac:dyDescent="0.3">
      <c r="D5725" s="348"/>
    </row>
    <row r="5726" spans="4:4" x14ac:dyDescent="0.3">
      <c r="D5726" s="348"/>
    </row>
    <row r="5727" spans="4:4" x14ac:dyDescent="0.3">
      <c r="D5727" s="348"/>
    </row>
    <row r="5728" spans="4:4" x14ac:dyDescent="0.3">
      <c r="D5728" s="348"/>
    </row>
    <row r="5729" spans="4:4" x14ac:dyDescent="0.3">
      <c r="D5729" s="348"/>
    </row>
    <row r="5730" spans="4:4" x14ac:dyDescent="0.3">
      <c r="D5730" s="348"/>
    </row>
    <row r="5731" spans="4:4" x14ac:dyDescent="0.3">
      <c r="D5731" s="348"/>
    </row>
    <row r="5732" spans="4:4" x14ac:dyDescent="0.3">
      <c r="D5732" s="348"/>
    </row>
    <row r="5733" spans="4:4" x14ac:dyDescent="0.3">
      <c r="D5733" s="348"/>
    </row>
    <row r="5734" spans="4:4" x14ac:dyDescent="0.3">
      <c r="D5734" s="348"/>
    </row>
    <row r="5735" spans="4:4" x14ac:dyDescent="0.3">
      <c r="D5735" s="348"/>
    </row>
    <row r="5736" spans="4:4" x14ac:dyDescent="0.3">
      <c r="D5736" s="348"/>
    </row>
    <row r="5737" spans="4:4" x14ac:dyDescent="0.3">
      <c r="D5737" s="348"/>
    </row>
    <row r="5738" spans="4:4" x14ac:dyDescent="0.3">
      <c r="D5738" s="348"/>
    </row>
    <row r="5739" spans="4:4" x14ac:dyDescent="0.3">
      <c r="D5739" s="348"/>
    </row>
    <row r="5740" spans="4:4" x14ac:dyDescent="0.3">
      <c r="D5740" s="348"/>
    </row>
    <row r="5741" spans="4:4" x14ac:dyDescent="0.3">
      <c r="D5741" s="348"/>
    </row>
    <row r="5742" spans="4:4" x14ac:dyDescent="0.3">
      <c r="D5742" s="348"/>
    </row>
    <row r="5743" spans="4:4" x14ac:dyDescent="0.3">
      <c r="D5743" s="348"/>
    </row>
    <row r="5744" spans="4:4" x14ac:dyDescent="0.3">
      <c r="D5744" s="348"/>
    </row>
    <row r="5745" spans="4:4" x14ac:dyDescent="0.3">
      <c r="D5745" s="348"/>
    </row>
    <row r="5746" spans="4:4" x14ac:dyDescent="0.3">
      <c r="D5746" s="348"/>
    </row>
    <row r="5747" spans="4:4" x14ac:dyDescent="0.3">
      <c r="D5747" s="348"/>
    </row>
    <row r="5748" spans="4:4" x14ac:dyDescent="0.3">
      <c r="D5748" s="348"/>
    </row>
    <row r="5749" spans="4:4" x14ac:dyDescent="0.3">
      <c r="D5749" s="348"/>
    </row>
    <row r="5750" spans="4:4" x14ac:dyDescent="0.3">
      <c r="D5750" s="348"/>
    </row>
    <row r="5751" spans="4:4" x14ac:dyDescent="0.3">
      <c r="D5751" s="348"/>
    </row>
    <row r="5752" spans="4:4" x14ac:dyDescent="0.3">
      <c r="D5752" s="348"/>
    </row>
    <row r="5753" spans="4:4" x14ac:dyDescent="0.3">
      <c r="D5753" s="348"/>
    </row>
    <row r="5754" spans="4:4" x14ac:dyDescent="0.3">
      <c r="D5754" s="348"/>
    </row>
    <row r="5755" spans="4:4" x14ac:dyDescent="0.3">
      <c r="D5755" s="348"/>
    </row>
    <row r="5756" spans="4:4" x14ac:dyDescent="0.3">
      <c r="D5756" s="348"/>
    </row>
    <row r="5757" spans="4:4" x14ac:dyDescent="0.3">
      <c r="D5757" s="348"/>
    </row>
    <row r="5758" spans="4:4" x14ac:dyDescent="0.3">
      <c r="D5758" s="348"/>
    </row>
    <row r="5759" spans="4:4" x14ac:dyDescent="0.3">
      <c r="D5759" s="348"/>
    </row>
    <row r="5760" spans="4:4" x14ac:dyDescent="0.3">
      <c r="D5760" s="348"/>
    </row>
    <row r="5761" spans="4:4" x14ac:dyDescent="0.3">
      <c r="D5761" s="348"/>
    </row>
    <row r="5762" spans="4:4" x14ac:dyDescent="0.3">
      <c r="D5762" s="348"/>
    </row>
    <row r="5763" spans="4:4" x14ac:dyDescent="0.3">
      <c r="D5763" s="348"/>
    </row>
    <row r="5764" spans="4:4" x14ac:dyDescent="0.3">
      <c r="D5764" s="348"/>
    </row>
    <row r="5765" spans="4:4" x14ac:dyDescent="0.3">
      <c r="D5765" s="348"/>
    </row>
    <row r="5766" spans="4:4" x14ac:dyDescent="0.3">
      <c r="D5766" s="348"/>
    </row>
    <row r="5767" spans="4:4" x14ac:dyDescent="0.3">
      <c r="D5767" s="348"/>
    </row>
    <row r="5768" spans="4:4" x14ac:dyDescent="0.3">
      <c r="D5768" s="348"/>
    </row>
    <row r="5769" spans="4:4" x14ac:dyDescent="0.3">
      <c r="D5769" s="348"/>
    </row>
    <row r="5770" spans="4:4" x14ac:dyDescent="0.3">
      <c r="D5770" s="348"/>
    </row>
    <row r="5771" spans="4:4" x14ac:dyDescent="0.3">
      <c r="D5771" s="348"/>
    </row>
    <row r="5772" spans="4:4" x14ac:dyDescent="0.3">
      <c r="D5772" s="348"/>
    </row>
    <row r="5773" spans="4:4" x14ac:dyDescent="0.3">
      <c r="D5773" s="348"/>
    </row>
    <row r="5774" spans="4:4" x14ac:dyDescent="0.3">
      <c r="D5774" s="348"/>
    </row>
    <row r="5775" spans="4:4" x14ac:dyDescent="0.3">
      <c r="D5775" s="348"/>
    </row>
    <row r="5776" spans="4:4" x14ac:dyDescent="0.3">
      <c r="D5776" s="348"/>
    </row>
    <row r="5777" spans="4:4" x14ac:dyDescent="0.3">
      <c r="D5777" s="348"/>
    </row>
    <row r="5778" spans="4:4" x14ac:dyDescent="0.3">
      <c r="D5778" s="348"/>
    </row>
    <row r="5779" spans="4:4" x14ac:dyDescent="0.3">
      <c r="D5779" s="348"/>
    </row>
    <row r="5780" spans="4:4" x14ac:dyDescent="0.3">
      <c r="D5780" s="348"/>
    </row>
    <row r="5781" spans="4:4" x14ac:dyDescent="0.3">
      <c r="D5781" s="348"/>
    </row>
    <row r="5782" spans="4:4" x14ac:dyDescent="0.3">
      <c r="D5782" s="348"/>
    </row>
    <row r="5783" spans="4:4" x14ac:dyDescent="0.3">
      <c r="D5783" s="348"/>
    </row>
    <row r="5784" spans="4:4" x14ac:dyDescent="0.3">
      <c r="D5784" s="348"/>
    </row>
    <row r="5785" spans="4:4" x14ac:dyDescent="0.3">
      <c r="D5785" s="348"/>
    </row>
    <row r="5786" spans="4:4" x14ac:dyDescent="0.3">
      <c r="D5786" s="348"/>
    </row>
    <row r="5787" spans="4:4" x14ac:dyDescent="0.3">
      <c r="D5787" s="348"/>
    </row>
    <row r="5788" spans="4:4" x14ac:dyDescent="0.3">
      <c r="D5788" s="348"/>
    </row>
    <row r="5789" spans="4:4" x14ac:dyDescent="0.3">
      <c r="D5789" s="348"/>
    </row>
    <row r="5790" spans="4:4" x14ac:dyDescent="0.3">
      <c r="D5790" s="348"/>
    </row>
    <row r="5791" spans="4:4" x14ac:dyDescent="0.3">
      <c r="D5791" s="348"/>
    </row>
    <row r="5792" spans="4:4" x14ac:dyDescent="0.3">
      <c r="D5792" s="348"/>
    </row>
    <row r="5793" spans="4:4" x14ac:dyDescent="0.3">
      <c r="D5793" s="348"/>
    </row>
    <row r="5794" spans="4:4" x14ac:dyDescent="0.3">
      <c r="D5794" s="348"/>
    </row>
    <row r="5795" spans="4:4" x14ac:dyDescent="0.3">
      <c r="D5795" s="348"/>
    </row>
    <row r="5796" spans="4:4" x14ac:dyDescent="0.3">
      <c r="D5796" s="348"/>
    </row>
    <row r="5797" spans="4:4" x14ac:dyDescent="0.3">
      <c r="D5797" s="348"/>
    </row>
    <row r="5798" spans="4:4" x14ac:dyDescent="0.3">
      <c r="D5798" s="348"/>
    </row>
    <row r="5799" spans="4:4" x14ac:dyDescent="0.3">
      <c r="D5799" s="348"/>
    </row>
    <row r="5800" spans="4:4" x14ac:dyDescent="0.3">
      <c r="D5800" s="348"/>
    </row>
    <row r="5801" spans="4:4" x14ac:dyDescent="0.3">
      <c r="D5801" s="348"/>
    </row>
    <row r="5802" spans="4:4" x14ac:dyDescent="0.3">
      <c r="D5802" s="348"/>
    </row>
    <row r="5803" spans="4:4" x14ac:dyDescent="0.3">
      <c r="D5803" s="348"/>
    </row>
    <row r="5804" spans="4:4" x14ac:dyDescent="0.3">
      <c r="D5804" s="348"/>
    </row>
    <row r="5805" spans="4:4" x14ac:dyDescent="0.3">
      <c r="D5805" s="348"/>
    </row>
    <row r="5806" spans="4:4" x14ac:dyDescent="0.3">
      <c r="D5806" s="348"/>
    </row>
    <row r="5807" spans="4:4" x14ac:dyDescent="0.3">
      <c r="D5807" s="348"/>
    </row>
    <row r="5808" spans="4:4" x14ac:dyDescent="0.3">
      <c r="D5808" s="348"/>
    </row>
    <row r="5809" spans="4:4" x14ac:dyDescent="0.3">
      <c r="D5809" s="348"/>
    </row>
    <row r="5810" spans="4:4" x14ac:dyDescent="0.3">
      <c r="D5810" s="348"/>
    </row>
    <row r="5811" spans="4:4" x14ac:dyDescent="0.3">
      <c r="D5811" s="348"/>
    </row>
    <row r="5812" spans="4:4" x14ac:dyDescent="0.3">
      <c r="D5812" s="348"/>
    </row>
    <row r="5813" spans="4:4" x14ac:dyDescent="0.3">
      <c r="D5813" s="348"/>
    </row>
    <row r="5814" spans="4:4" x14ac:dyDescent="0.3">
      <c r="D5814" s="348"/>
    </row>
    <row r="5815" spans="4:4" x14ac:dyDescent="0.3">
      <c r="D5815" s="348"/>
    </row>
    <row r="5816" spans="4:4" x14ac:dyDescent="0.3">
      <c r="D5816" s="348"/>
    </row>
    <row r="5817" spans="4:4" x14ac:dyDescent="0.3">
      <c r="D5817" s="348"/>
    </row>
    <row r="5818" spans="4:4" x14ac:dyDescent="0.3">
      <c r="D5818" s="348"/>
    </row>
    <row r="5819" spans="4:4" x14ac:dyDescent="0.3">
      <c r="D5819" s="348"/>
    </row>
    <row r="5820" spans="4:4" x14ac:dyDescent="0.3">
      <c r="D5820" s="348"/>
    </row>
    <row r="5821" spans="4:4" x14ac:dyDescent="0.3">
      <c r="D5821" s="348"/>
    </row>
    <row r="5822" spans="4:4" x14ac:dyDescent="0.3">
      <c r="D5822" s="348"/>
    </row>
    <row r="5823" spans="4:4" x14ac:dyDescent="0.3">
      <c r="D5823" s="348"/>
    </row>
    <row r="5824" spans="4:4" x14ac:dyDescent="0.3">
      <c r="D5824" s="348"/>
    </row>
    <row r="5825" spans="4:4" x14ac:dyDescent="0.3">
      <c r="D5825" s="348"/>
    </row>
    <row r="5826" spans="4:4" x14ac:dyDescent="0.3">
      <c r="D5826" s="348"/>
    </row>
    <row r="5827" spans="4:4" x14ac:dyDescent="0.3">
      <c r="D5827" s="348"/>
    </row>
    <row r="5828" spans="4:4" x14ac:dyDescent="0.3">
      <c r="D5828" s="348"/>
    </row>
    <row r="5829" spans="4:4" x14ac:dyDescent="0.3">
      <c r="D5829" s="348"/>
    </row>
    <row r="5830" spans="4:4" x14ac:dyDescent="0.3">
      <c r="D5830" s="348"/>
    </row>
    <row r="5831" spans="4:4" x14ac:dyDescent="0.3">
      <c r="D5831" s="348"/>
    </row>
    <row r="5832" spans="4:4" x14ac:dyDescent="0.3">
      <c r="D5832" s="348"/>
    </row>
    <row r="5833" spans="4:4" x14ac:dyDescent="0.3">
      <c r="D5833" s="348"/>
    </row>
    <row r="5834" spans="4:4" x14ac:dyDescent="0.3">
      <c r="D5834" s="348"/>
    </row>
    <row r="5835" spans="4:4" x14ac:dyDescent="0.3">
      <c r="D5835" s="348"/>
    </row>
    <row r="5836" spans="4:4" x14ac:dyDescent="0.3">
      <c r="D5836" s="348"/>
    </row>
    <row r="5837" spans="4:4" x14ac:dyDescent="0.3">
      <c r="D5837" s="348"/>
    </row>
    <row r="5838" spans="4:4" x14ac:dyDescent="0.3">
      <c r="D5838" s="348"/>
    </row>
    <row r="5839" spans="4:4" x14ac:dyDescent="0.3">
      <c r="D5839" s="348"/>
    </row>
    <row r="5840" spans="4:4" x14ac:dyDescent="0.3">
      <c r="D5840" s="348"/>
    </row>
    <row r="5841" spans="4:4" x14ac:dyDescent="0.3">
      <c r="D5841" s="348"/>
    </row>
    <row r="5842" spans="4:4" x14ac:dyDescent="0.3">
      <c r="D5842" s="348"/>
    </row>
    <row r="5843" spans="4:4" x14ac:dyDescent="0.3">
      <c r="D5843" s="348"/>
    </row>
    <row r="5844" spans="4:4" x14ac:dyDescent="0.3">
      <c r="D5844" s="348"/>
    </row>
    <row r="5845" spans="4:4" x14ac:dyDescent="0.3">
      <c r="D5845" s="348"/>
    </row>
    <row r="5846" spans="4:4" x14ac:dyDescent="0.3">
      <c r="D5846" s="348"/>
    </row>
    <row r="5847" spans="4:4" x14ac:dyDescent="0.3">
      <c r="D5847" s="348"/>
    </row>
    <row r="5848" spans="4:4" x14ac:dyDescent="0.3">
      <c r="D5848" s="348"/>
    </row>
    <row r="5849" spans="4:4" x14ac:dyDescent="0.3">
      <c r="D5849" s="348"/>
    </row>
    <row r="5850" spans="4:4" x14ac:dyDescent="0.3">
      <c r="D5850" s="348"/>
    </row>
    <row r="5851" spans="4:4" x14ac:dyDescent="0.3">
      <c r="D5851" s="348"/>
    </row>
    <row r="5852" spans="4:4" x14ac:dyDescent="0.3">
      <c r="D5852" s="348"/>
    </row>
    <row r="5853" spans="4:4" x14ac:dyDescent="0.3">
      <c r="D5853" s="348"/>
    </row>
    <row r="5854" spans="4:4" x14ac:dyDescent="0.3">
      <c r="D5854" s="348"/>
    </row>
    <row r="5855" spans="4:4" x14ac:dyDescent="0.3">
      <c r="D5855" s="348"/>
    </row>
    <row r="5856" spans="4:4" x14ac:dyDescent="0.3">
      <c r="D5856" s="348"/>
    </row>
    <row r="5857" spans="4:4" x14ac:dyDescent="0.3">
      <c r="D5857" s="348"/>
    </row>
    <row r="5858" spans="4:4" x14ac:dyDescent="0.3">
      <c r="D5858" s="348"/>
    </row>
    <row r="5859" spans="4:4" x14ac:dyDescent="0.3">
      <c r="D5859" s="348"/>
    </row>
    <row r="5860" spans="4:4" x14ac:dyDescent="0.3">
      <c r="D5860" s="348"/>
    </row>
    <row r="5861" spans="4:4" x14ac:dyDescent="0.3">
      <c r="D5861" s="348"/>
    </row>
    <row r="5862" spans="4:4" x14ac:dyDescent="0.3">
      <c r="D5862" s="348"/>
    </row>
    <row r="5863" spans="4:4" x14ac:dyDescent="0.3">
      <c r="D5863" s="348"/>
    </row>
    <row r="5864" spans="4:4" x14ac:dyDescent="0.3">
      <c r="D5864" s="348"/>
    </row>
    <row r="5865" spans="4:4" x14ac:dyDescent="0.3">
      <c r="D5865" s="348"/>
    </row>
    <row r="5866" spans="4:4" x14ac:dyDescent="0.3">
      <c r="D5866" s="348"/>
    </row>
    <row r="5867" spans="4:4" x14ac:dyDescent="0.3">
      <c r="D5867" s="348"/>
    </row>
    <row r="5868" spans="4:4" x14ac:dyDescent="0.3">
      <c r="D5868" s="348"/>
    </row>
    <row r="5869" spans="4:4" x14ac:dyDescent="0.3">
      <c r="D5869" s="348"/>
    </row>
    <row r="5870" spans="4:4" x14ac:dyDescent="0.3">
      <c r="D5870" s="348"/>
    </row>
    <row r="5871" spans="4:4" x14ac:dyDescent="0.3">
      <c r="D5871" s="348"/>
    </row>
    <row r="5872" spans="4:4" x14ac:dyDescent="0.3">
      <c r="D5872" s="348"/>
    </row>
    <row r="5873" spans="4:4" x14ac:dyDescent="0.3">
      <c r="D5873" s="348"/>
    </row>
    <row r="5874" spans="4:4" x14ac:dyDescent="0.3">
      <c r="D5874" s="348"/>
    </row>
    <row r="5875" spans="4:4" x14ac:dyDescent="0.3">
      <c r="D5875" s="348"/>
    </row>
    <row r="5876" spans="4:4" x14ac:dyDescent="0.3">
      <c r="D5876" s="348"/>
    </row>
    <row r="5877" spans="4:4" x14ac:dyDescent="0.3">
      <c r="D5877" s="348"/>
    </row>
    <row r="5878" spans="4:4" x14ac:dyDescent="0.3">
      <c r="D5878" s="348"/>
    </row>
    <row r="5879" spans="4:4" x14ac:dyDescent="0.3">
      <c r="D5879" s="348"/>
    </row>
    <row r="5880" spans="4:4" x14ac:dyDescent="0.3">
      <c r="D5880" s="348"/>
    </row>
    <row r="5881" spans="4:4" x14ac:dyDescent="0.3">
      <c r="D5881" s="348"/>
    </row>
    <row r="5882" spans="4:4" x14ac:dyDescent="0.3">
      <c r="D5882" s="348"/>
    </row>
    <row r="5883" spans="4:4" x14ac:dyDescent="0.3">
      <c r="D5883" s="348"/>
    </row>
    <row r="5884" spans="4:4" x14ac:dyDescent="0.3">
      <c r="D5884" s="348"/>
    </row>
    <row r="5885" spans="4:4" x14ac:dyDescent="0.3">
      <c r="D5885" s="348"/>
    </row>
    <row r="5886" spans="4:4" x14ac:dyDescent="0.3">
      <c r="D5886" s="348"/>
    </row>
    <row r="5887" spans="4:4" x14ac:dyDescent="0.3">
      <c r="D5887" s="348"/>
    </row>
    <row r="5888" spans="4:4" x14ac:dyDescent="0.3">
      <c r="D5888" s="348"/>
    </row>
    <row r="5889" spans="4:4" x14ac:dyDescent="0.3">
      <c r="D5889" s="348"/>
    </row>
    <row r="5890" spans="4:4" x14ac:dyDescent="0.3">
      <c r="D5890" s="348"/>
    </row>
    <row r="5891" spans="4:4" x14ac:dyDescent="0.3">
      <c r="D5891" s="348"/>
    </row>
    <row r="5892" spans="4:4" x14ac:dyDescent="0.3">
      <c r="D5892" s="348"/>
    </row>
    <row r="5893" spans="4:4" x14ac:dyDescent="0.3">
      <c r="D5893" s="348"/>
    </row>
    <row r="5894" spans="4:4" x14ac:dyDescent="0.3">
      <c r="D5894" s="348"/>
    </row>
    <row r="5895" spans="4:4" x14ac:dyDescent="0.3">
      <c r="D5895" s="348"/>
    </row>
    <row r="5896" spans="4:4" x14ac:dyDescent="0.3">
      <c r="D5896" s="348"/>
    </row>
    <row r="5897" spans="4:4" x14ac:dyDescent="0.3">
      <c r="D5897" s="348"/>
    </row>
    <row r="5898" spans="4:4" x14ac:dyDescent="0.3">
      <c r="D5898" s="348"/>
    </row>
    <row r="5899" spans="4:4" x14ac:dyDescent="0.3">
      <c r="D5899" s="348"/>
    </row>
    <row r="5900" spans="4:4" x14ac:dyDescent="0.3">
      <c r="D5900" s="348"/>
    </row>
    <row r="5901" spans="4:4" x14ac:dyDescent="0.3">
      <c r="D5901" s="348"/>
    </row>
    <row r="5902" spans="4:4" x14ac:dyDescent="0.3">
      <c r="D5902" s="348"/>
    </row>
    <row r="5903" spans="4:4" x14ac:dyDescent="0.3">
      <c r="D5903" s="348"/>
    </row>
    <row r="5904" spans="4:4" x14ac:dyDescent="0.3">
      <c r="D5904" s="348"/>
    </row>
    <row r="5905" spans="4:4" x14ac:dyDescent="0.3">
      <c r="D5905" s="348"/>
    </row>
    <row r="5906" spans="4:4" x14ac:dyDescent="0.3">
      <c r="D5906" s="348"/>
    </row>
    <row r="5907" spans="4:4" x14ac:dyDescent="0.3">
      <c r="D5907" s="348"/>
    </row>
    <row r="5908" spans="4:4" x14ac:dyDescent="0.3">
      <c r="D5908" s="348"/>
    </row>
    <row r="5909" spans="4:4" x14ac:dyDescent="0.3">
      <c r="D5909" s="348"/>
    </row>
    <row r="5910" spans="4:4" x14ac:dyDescent="0.3">
      <c r="D5910" s="348"/>
    </row>
    <row r="5911" spans="4:4" x14ac:dyDescent="0.3">
      <c r="D5911" s="348"/>
    </row>
    <row r="5912" spans="4:4" x14ac:dyDescent="0.3">
      <c r="D5912" s="348"/>
    </row>
    <row r="5913" spans="4:4" x14ac:dyDescent="0.3">
      <c r="D5913" s="348"/>
    </row>
    <row r="5914" spans="4:4" x14ac:dyDescent="0.3">
      <c r="D5914" s="348"/>
    </row>
    <row r="5915" spans="4:4" x14ac:dyDescent="0.3">
      <c r="D5915" s="348"/>
    </row>
    <row r="5916" spans="4:4" x14ac:dyDescent="0.3">
      <c r="D5916" s="348"/>
    </row>
    <row r="5917" spans="4:4" x14ac:dyDescent="0.3">
      <c r="D5917" s="348"/>
    </row>
    <row r="5918" spans="4:4" x14ac:dyDescent="0.3">
      <c r="D5918" s="348"/>
    </row>
    <row r="5919" spans="4:4" x14ac:dyDescent="0.3">
      <c r="D5919" s="348"/>
    </row>
    <row r="5920" spans="4:4" x14ac:dyDescent="0.3">
      <c r="D5920" s="348"/>
    </row>
    <row r="5921" spans="4:4" x14ac:dyDescent="0.3">
      <c r="D5921" s="348"/>
    </row>
    <row r="5922" spans="4:4" x14ac:dyDescent="0.3">
      <c r="D5922" s="348"/>
    </row>
    <row r="5923" spans="4:4" x14ac:dyDescent="0.3">
      <c r="D5923" s="348"/>
    </row>
    <row r="5924" spans="4:4" x14ac:dyDescent="0.3">
      <c r="D5924" s="348"/>
    </row>
    <row r="5925" spans="4:4" x14ac:dyDescent="0.3">
      <c r="D5925" s="348"/>
    </row>
    <row r="5926" spans="4:4" x14ac:dyDescent="0.3">
      <c r="D5926" s="348"/>
    </row>
    <row r="5927" spans="4:4" x14ac:dyDescent="0.3">
      <c r="D5927" s="348"/>
    </row>
    <row r="5928" spans="4:4" x14ac:dyDescent="0.3">
      <c r="D5928" s="348"/>
    </row>
    <row r="5929" spans="4:4" x14ac:dyDescent="0.3">
      <c r="D5929" s="348"/>
    </row>
    <row r="5930" spans="4:4" x14ac:dyDescent="0.3">
      <c r="D5930" s="348"/>
    </row>
    <row r="5931" spans="4:4" x14ac:dyDescent="0.3">
      <c r="D5931" s="348"/>
    </row>
    <row r="5932" spans="4:4" x14ac:dyDescent="0.3">
      <c r="D5932" s="348"/>
    </row>
    <row r="5933" spans="4:4" x14ac:dyDescent="0.3">
      <c r="D5933" s="348"/>
    </row>
    <row r="5934" spans="4:4" x14ac:dyDescent="0.3">
      <c r="D5934" s="348"/>
    </row>
    <row r="5935" spans="4:4" x14ac:dyDescent="0.3">
      <c r="D5935" s="348"/>
    </row>
    <row r="5936" spans="4:4" x14ac:dyDescent="0.3">
      <c r="D5936" s="348"/>
    </row>
    <row r="5937" spans="4:4" x14ac:dyDescent="0.3">
      <c r="D5937" s="348"/>
    </row>
    <row r="5938" spans="4:4" x14ac:dyDescent="0.3">
      <c r="D5938" s="348"/>
    </row>
    <row r="5939" spans="4:4" x14ac:dyDescent="0.3">
      <c r="D5939" s="348"/>
    </row>
    <row r="5940" spans="4:4" x14ac:dyDescent="0.3">
      <c r="D5940" s="348"/>
    </row>
    <row r="5941" spans="4:4" x14ac:dyDescent="0.3">
      <c r="D5941" s="348"/>
    </row>
    <row r="5942" spans="4:4" x14ac:dyDescent="0.3">
      <c r="D5942" s="348"/>
    </row>
    <row r="5943" spans="4:4" x14ac:dyDescent="0.3">
      <c r="D5943" s="348"/>
    </row>
    <row r="5944" spans="4:4" x14ac:dyDescent="0.3">
      <c r="D5944" s="348"/>
    </row>
    <row r="5945" spans="4:4" x14ac:dyDescent="0.3">
      <c r="D5945" s="348"/>
    </row>
    <row r="5946" spans="4:4" x14ac:dyDescent="0.3">
      <c r="D5946" s="348"/>
    </row>
    <row r="5947" spans="4:4" x14ac:dyDescent="0.3">
      <c r="D5947" s="348"/>
    </row>
    <row r="5948" spans="4:4" x14ac:dyDescent="0.3">
      <c r="D5948" s="348"/>
    </row>
    <row r="5949" spans="4:4" x14ac:dyDescent="0.3">
      <c r="D5949" s="348"/>
    </row>
    <row r="5950" spans="4:4" x14ac:dyDescent="0.3">
      <c r="D5950" s="348"/>
    </row>
    <row r="5951" spans="4:4" x14ac:dyDescent="0.3">
      <c r="D5951" s="348"/>
    </row>
    <row r="5952" spans="4:4" x14ac:dyDescent="0.3">
      <c r="D5952" s="348"/>
    </row>
    <row r="5953" spans="4:4" x14ac:dyDescent="0.3">
      <c r="D5953" s="348"/>
    </row>
    <row r="5954" spans="4:4" x14ac:dyDescent="0.3">
      <c r="D5954" s="348"/>
    </row>
    <row r="5955" spans="4:4" x14ac:dyDescent="0.3">
      <c r="D5955" s="348"/>
    </row>
    <row r="5956" spans="4:4" x14ac:dyDescent="0.3">
      <c r="D5956" s="348"/>
    </row>
    <row r="5957" spans="4:4" x14ac:dyDescent="0.3">
      <c r="D5957" s="348"/>
    </row>
    <row r="5958" spans="4:4" x14ac:dyDescent="0.3">
      <c r="D5958" s="348"/>
    </row>
    <row r="5959" spans="4:4" x14ac:dyDescent="0.3">
      <c r="D5959" s="348"/>
    </row>
    <row r="5960" spans="4:4" x14ac:dyDescent="0.3">
      <c r="D5960" s="348"/>
    </row>
    <row r="5961" spans="4:4" x14ac:dyDescent="0.3">
      <c r="D5961" s="348"/>
    </row>
    <row r="5962" spans="4:4" x14ac:dyDescent="0.3">
      <c r="D5962" s="348"/>
    </row>
    <row r="5963" spans="4:4" x14ac:dyDescent="0.3">
      <c r="D5963" s="348"/>
    </row>
    <row r="5964" spans="4:4" x14ac:dyDescent="0.3">
      <c r="D5964" s="348"/>
    </row>
    <row r="5965" spans="4:4" x14ac:dyDescent="0.3">
      <c r="D5965" s="348"/>
    </row>
    <row r="5966" spans="4:4" x14ac:dyDescent="0.3">
      <c r="D5966" s="348"/>
    </row>
    <row r="5967" spans="4:4" x14ac:dyDescent="0.3">
      <c r="D5967" s="348"/>
    </row>
    <row r="5968" spans="4:4" x14ac:dyDescent="0.3">
      <c r="D5968" s="348"/>
    </row>
    <row r="5969" spans="4:4" x14ac:dyDescent="0.3">
      <c r="D5969" s="348"/>
    </row>
    <row r="5970" spans="4:4" x14ac:dyDescent="0.3">
      <c r="D5970" s="348"/>
    </row>
    <row r="5971" spans="4:4" x14ac:dyDescent="0.3">
      <c r="D5971" s="348"/>
    </row>
    <row r="5972" spans="4:4" x14ac:dyDescent="0.3">
      <c r="D5972" s="348"/>
    </row>
    <row r="5973" spans="4:4" x14ac:dyDescent="0.3">
      <c r="D5973" s="348"/>
    </row>
    <row r="5974" spans="4:4" x14ac:dyDescent="0.3">
      <c r="D5974" s="348"/>
    </row>
    <row r="5975" spans="4:4" x14ac:dyDescent="0.3">
      <c r="D5975" s="348"/>
    </row>
    <row r="5976" spans="4:4" x14ac:dyDescent="0.3">
      <c r="D5976" s="348"/>
    </row>
    <row r="5977" spans="4:4" x14ac:dyDescent="0.3">
      <c r="D5977" s="348"/>
    </row>
    <row r="5978" spans="4:4" x14ac:dyDescent="0.3">
      <c r="D5978" s="348"/>
    </row>
    <row r="5979" spans="4:4" x14ac:dyDescent="0.3">
      <c r="D5979" s="348"/>
    </row>
    <row r="5980" spans="4:4" x14ac:dyDescent="0.3">
      <c r="D5980" s="348"/>
    </row>
    <row r="5981" spans="4:4" x14ac:dyDescent="0.3">
      <c r="D5981" s="348"/>
    </row>
    <row r="5982" spans="4:4" x14ac:dyDescent="0.3">
      <c r="D5982" s="348"/>
    </row>
    <row r="5983" spans="4:4" x14ac:dyDescent="0.3">
      <c r="D5983" s="348"/>
    </row>
    <row r="5984" spans="4:4" x14ac:dyDescent="0.3">
      <c r="D5984" s="348"/>
    </row>
    <row r="5985" spans="4:4" x14ac:dyDescent="0.3">
      <c r="D5985" s="348"/>
    </row>
    <row r="5986" spans="4:4" x14ac:dyDescent="0.3">
      <c r="D5986" s="348"/>
    </row>
    <row r="5987" spans="4:4" x14ac:dyDescent="0.3">
      <c r="D5987" s="348"/>
    </row>
    <row r="5988" spans="4:4" x14ac:dyDescent="0.3">
      <c r="D5988" s="348"/>
    </row>
    <row r="5989" spans="4:4" x14ac:dyDescent="0.3">
      <c r="D5989" s="348"/>
    </row>
    <row r="5990" spans="4:4" x14ac:dyDescent="0.3">
      <c r="D5990" s="348"/>
    </row>
    <row r="5991" spans="4:4" x14ac:dyDescent="0.3">
      <c r="D5991" s="348"/>
    </row>
    <row r="5992" spans="4:4" x14ac:dyDescent="0.3">
      <c r="D5992" s="348"/>
    </row>
    <row r="5993" spans="4:4" x14ac:dyDescent="0.3">
      <c r="D5993" s="348"/>
    </row>
    <row r="5994" spans="4:4" x14ac:dyDescent="0.3">
      <c r="D5994" s="348"/>
    </row>
    <row r="5995" spans="4:4" x14ac:dyDescent="0.3">
      <c r="D5995" s="348"/>
    </row>
    <row r="5996" spans="4:4" x14ac:dyDescent="0.3">
      <c r="D5996" s="348"/>
    </row>
    <row r="5997" spans="4:4" x14ac:dyDescent="0.3">
      <c r="D5997" s="348"/>
    </row>
    <row r="5998" spans="4:4" x14ac:dyDescent="0.3">
      <c r="D5998" s="348"/>
    </row>
    <row r="5999" spans="4:4" x14ac:dyDescent="0.3">
      <c r="D5999" s="348"/>
    </row>
    <row r="6000" spans="4:4" x14ac:dyDescent="0.3">
      <c r="D6000" s="348"/>
    </row>
    <row r="6001" spans="4:4" x14ac:dyDescent="0.3">
      <c r="D6001" s="348"/>
    </row>
    <row r="6002" spans="4:4" x14ac:dyDescent="0.3">
      <c r="D6002" s="348"/>
    </row>
    <row r="6003" spans="4:4" x14ac:dyDescent="0.3">
      <c r="D6003" s="348"/>
    </row>
    <row r="6004" spans="4:4" x14ac:dyDescent="0.3">
      <c r="D6004" s="348"/>
    </row>
    <row r="6005" spans="4:4" x14ac:dyDescent="0.3">
      <c r="D6005" s="348"/>
    </row>
    <row r="6006" spans="4:4" x14ac:dyDescent="0.3">
      <c r="D6006" s="348"/>
    </row>
    <row r="6007" spans="4:4" x14ac:dyDescent="0.3">
      <c r="D6007" s="348"/>
    </row>
    <row r="6008" spans="4:4" x14ac:dyDescent="0.3">
      <c r="D6008" s="348"/>
    </row>
    <row r="6009" spans="4:4" x14ac:dyDescent="0.3">
      <c r="D6009" s="348"/>
    </row>
    <row r="6010" spans="4:4" x14ac:dyDescent="0.3">
      <c r="D6010" s="348"/>
    </row>
    <row r="6011" spans="4:4" x14ac:dyDescent="0.3">
      <c r="D6011" s="348"/>
    </row>
    <row r="6012" spans="4:4" x14ac:dyDescent="0.3">
      <c r="D6012" s="348"/>
    </row>
    <row r="6013" spans="4:4" x14ac:dyDescent="0.3">
      <c r="D6013" s="348"/>
    </row>
    <row r="6014" spans="4:4" x14ac:dyDescent="0.3">
      <c r="D6014" s="348"/>
    </row>
    <row r="6015" spans="4:4" x14ac:dyDescent="0.3">
      <c r="D6015" s="348"/>
    </row>
    <row r="6016" spans="4:4" x14ac:dyDescent="0.3">
      <c r="D6016" s="348"/>
    </row>
    <row r="6017" spans="4:4" x14ac:dyDescent="0.3">
      <c r="D6017" s="348"/>
    </row>
    <row r="6018" spans="4:4" x14ac:dyDescent="0.3">
      <c r="D6018" s="348"/>
    </row>
    <row r="6019" spans="4:4" x14ac:dyDescent="0.3">
      <c r="D6019" s="348"/>
    </row>
    <row r="6020" spans="4:4" x14ac:dyDescent="0.3">
      <c r="D6020" s="348"/>
    </row>
    <row r="6021" spans="4:4" x14ac:dyDescent="0.3">
      <c r="D6021" s="348"/>
    </row>
    <row r="6022" spans="4:4" x14ac:dyDescent="0.3">
      <c r="D6022" s="348"/>
    </row>
    <row r="6023" spans="4:4" x14ac:dyDescent="0.3">
      <c r="D6023" s="348"/>
    </row>
    <row r="6024" spans="4:4" x14ac:dyDescent="0.3">
      <c r="D6024" s="348"/>
    </row>
    <row r="6025" spans="4:4" x14ac:dyDescent="0.3">
      <c r="D6025" s="348"/>
    </row>
    <row r="6026" spans="4:4" x14ac:dyDescent="0.3">
      <c r="D6026" s="348"/>
    </row>
    <row r="6027" spans="4:4" x14ac:dyDescent="0.3">
      <c r="D6027" s="348"/>
    </row>
    <row r="6028" spans="4:4" x14ac:dyDescent="0.3">
      <c r="D6028" s="348"/>
    </row>
    <row r="6029" spans="4:4" x14ac:dyDescent="0.3">
      <c r="D6029" s="348"/>
    </row>
    <row r="6030" spans="4:4" x14ac:dyDescent="0.3">
      <c r="D6030" s="348"/>
    </row>
    <row r="6031" spans="4:4" x14ac:dyDescent="0.3">
      <c r="D6031" s="348"/>
    </row>
    <row r="6032" spans="4:4" x14ac:dyDescent="0.3">
      <c r="D6032" s="348"/>
    </row>
    <row r="6033" spans="4:4" x14ac:dyDescent="0.3">
      <c r="D6033" s="348"/>
    </row>
    <row r="6034" spans="4:4" x14ac:dyDescent="0.3">
      <c r="D6034" s="348"/>
    </row>
    <row r="6035" spans="4:4" x14ac:dyDescent="0.3">
      <c r="D6035" s="348"/>
    </row>
    <row r="6036" spans="4:4" x14ac:dyDescent="0.3">
      <c r="D6036" s="348"/>
    </row>
    <row r="6037" spans="4:4" x14ac:dyDescent="0.3">
      <c r="D6037" s="348"/>
    </row>
    <row r="6038" spans="4:4" x14ac:dyDescent="0.3">
      <c r="D6038" s="348"/>
    </row>
    <row r="6039" spans="4:4" x14ac:dyDescent="0.3">
      <c r="D6039" s="348"/>
    </row>
    <row r="6040" spans="4:4" x14ac:dyDescent="0.3">
      <c r="D6040" s="348"/>
    </row>
    <row r="6041" spans="4:4" x14ac:dyDescent="0.3">
      <c r="D6041" s="348"/>
    </row>
    <row r="6042" spans="4:4" x14ac:dyDescent="0.3">
      <c r="D6042" s="348"/>
    </row>
    <row r="6043" spans="4:4" x14ac:dyDescent="0.3">
      <c r="D6043" s="348"/>
    </row>
    <row r="6044" spans="4:4" x14ac:dyDescent="0.3">
      <c r="D6044" s="348"/>
    </row>
    <row r="6045" spans="4:4" x14ac:dyDescent="0.3">
      <c r="D6045" s="348"/>
    </row>
    <row r="6046" spans="4:4" x14ac:dyDescent="0.3">
      <c r="D6046" s="348"/>
    </row>
    <row r="6047" spans="4:4" x14ac:dyDescent="0.3">
      <c r="D6047" s="348"/>
    </row>
    <row r="6048" spans="4:4" x14ac:dyDescent="0.3">
      <c r="D6048" s="348"/>
    </row>
    <row r="6049" spans="4:4" x14ac:dyDescent="0.3">
      <c r="D6049" s="348"/>
    </row>
    <row r="6050" spans="4:4" x14ac:dyDescent="0.3">
      <c r="D6050" s="348"/>
    </row>
    <row r="6051" spans="4:4" x14ac:dyDescent="0.3">
      <c r="D6051" s="348"/>
    </row>
    <row r="6052" spans="4:4" x14ac:dyDescent="0.3">
      <c r="D6052" s="348"/>
    </row>
    <row r="6053" spans="4:4" x14ac:dyDescent="0.3">
      <c r="D6053" s="348"/>
    </row>
    <row r="6054" spans="4:4" x14ac:dyDescent="0.3">
      <c r="D6054" s="348"/>
    </row>
    <row r="6055" spans="4:4" x14ac:dyDescent="0.3">
      <c r="D6055" s="348"/>
    </row>
    <row r="6056" spans="4:4" x14ac:dyDescent="0.3">
      <c r="D6056" s="348"/>
    </row>
    <row r="6057" spans="4:4" x14ac:dyDescent="0.3">
      <c r="D6057" s="348"/>
    </row>
    <row r="6058" spans="4:4" x14ac:dyDescent="0.3">
      <c r="D6058" s="348"/>
    </row>
    <row r="6059" spans="4:4" x14ac:dyDescent="0.3">
      <c r="D6059" s="348"/>
    </row>
    <row r="6060" spans="4:4" x14ac:dyDescent="0.3">
      <c r="D6060" s="348"/>
    </row>
    <row r="6061" spans="4:4" x14ac:dyDescent="0.3">
      <c r="D6061" s="348"/>
    </row>
    <row r="6062" spans="4:4" x14ac:dyDescent="0.3">
      <c r="D6062" s="348"/>
    </row>
    <row r="6063" spans="4:4" x14ac:dyDescent="0.3">
      <c r="D6063" s="348"/>
    </row>
    <row r="6064" spans="4:4" x14ac:dyDescent="0.3">
      <c r="D6064" s="348"/>
    </row>
    <row r="6065" spans="4:4" x14ac:dyDescent="0.3">
      <c r="D6065" s="348"/>
    </row>
    <row r="6066" spans="4:4" x14ac:dyDescent="0.3">
      <c r="D6066" s="348"/>
    </row>
    <row r="6067" spans="4:4" x14ac:dyDescent="0.3">
      <c r="D6067" s="348"/>
    </row>
    <row r="6068" spans="4:4" x14ac:dyDescent="0.3">
      <c r="D6068" s="348"/>
    </row>
    <row r="6069" spans="4:4" x14ac:dyDescent="0.3">
      <c r="D6069" s="348"/>
    </row>
    <row r="6070" spans="4:4" x14ac:dyDescent="0.3">
      <c r="D6070" s="348"/>
    </row>
    <row r="6071" spans="4:4" x14ac:dyDescent="0.3">
      <c r="D6071" s="348"/>
    </row>
    <row r="6072" spans="4:4" x14ac:dyDescent="0.3">
      <c r="D6072" s="348"/>
    </row>
    <row r="6073" spans="4:4" x14ac:dyDescent="0.3">
      <c r="D6073" s="348"/>
    </row>
    <row r="6074" spans="4:4" x14ac:dyDescent="0.3">
      <c r="D6074" s="348"/>
    </row>
    <row r="6075" spans="4:4" x14ac:dyDescent="0.3">
      <c r="D6075" s="348"/>
    </row>
    <row r="6076" spans="4:4" x14ac:dyDescent="0.3">
      <c r="D6076" s="348"/>
    </row>
    <row r="6077" spans="4:4" x14ac:dyDescent="0.3">
      <c r="D6077" s="348"/>
    </row>
    <row r="6078" spans="4:4" x14ac:dyDescent="0.3">
      <c r="D6078" s="348"/>
    </row>
    <row r="6079" spans="4:4" x14ac:dyDescent="0.3">
      <c r="D6079" s="348"/>
    </row>
    <row r="6080" spans="4:4" x14ac:dyDescent="0.3">
      <c r="D6080" s="348"/>
    </row>
    <row r="6081" spans="4:4" x14ac:dyDescent="0.3">
      <c r="D6081" s="348"/>
    </row>
    <row r="6082" spans="4:4" x14ac:dyDescent="0.3">
      <c r="D6082" s="348"/>
    </row>
    <row r="6083" spans="4:4" x14ac:dyDescent="0.3">
      <c r="D6083" s="348"/>
    </row>
    <row r="6084" spans="4:4" x14ac:dyDescent="0.3">
      <c r="D6084" s="348"/>
    </row>
    <row r="6085" spans="4:4" x14ac:dyDescent="0.3">
      <c r="D6085" s="348"/>
    </row>
    <row r="6086" spans="4:4" x14ac:dyDescent="0.3">
      <c r="D6086" s="348"/>
    </row>
    <row r="6087" spans="4:4" x14ac:dyDescent="0.3">
      <c r="D6087" s="348"/>
    </row>
    <row r="6088" spans="4:4" x14ac:dyDescent="0.3">
      <c r="D6088" s="348"/>
    </row>
    <row r="6089" spans="4:4" x14ac:dyDescent="0.3">
      <c r="D6089" s="348"/>
    </row>
    <row r="6090" spans="4:4" x14ac:dyDescent="0.3">
      <c r="D6090" s="348"/>
    </row>
    <row r="6091" spans="4:4" x14ac:dyDescent="0.3">
      <c r="D6091" s="348"/>
    </row>
    <row r="6092" spans="4:4" x14ac:dyDescent="0.3">
      <c r="D6092" s="348"/>
    </row>
    <row r="6093" spans="4:4" x14ac:dyDescent="0.3">
      <c r="D6093" s="348"/>
    </row>
    <row r="6094" spans="4:4" x14ac:dyDescent="0.3">
      <c r="D6094" s="348"/>
    </row>
    <row r="6095" spans="4:4" x14ac:dyDescent="0.3">
      <c r="D6095" s="348"/>
    </row>
    <row r="6096" spans="4:4" x14ac:dyDescent="0.3">
      <c r="D6096" s="348"/>
    </row>
    <row r="6097" spans="4:4" x14ac:dyDescent="0.3">
      <c r="D6097" s="348"/>
    </row>
    <row r="6098" spans="4:4" x14ac:dyDescent="0.3">
      <c r="D6098" s="348"/>
    </row>
    <row r="6099" spans="4:4" x14ac:dyDescent="0.3">
      <c r="D6099" s="348"/>
    </row>
    <row r="6100" spans="4:4" x14ac:dyDescent="0.3">
      <c r="D6100" s="348"/>
    </row>
    <row r="6101" spans="4:4" x14ac:dyDescent="0.3">
      <c r="D6101" s="348"/>
    </row>
    <row r="6102" spans="4:4" x14ac:dyDescent="0.3">
      <c r="D6102" s="348"/>
    </row>
    <row r="6103" spans="4:4" x14ac:dyDescent="0.3">
      <c r="D6103" s="348"/>
    </row>
    <row r="6104" spans="4:4" x14ac:dyDescent="0.3">
      <c r="D6104" s="348"/>
    </row>
    <row r="6105" spans="4:4" x14ac:dyDescent="0.3">
      <c r="D6105" s="348"/>
    </row>
    <row r="6106" spans="4:4" x14ac:dyDescent="0.3">
      <c r="D6106" s="348"/>
    </row>
    <row r="6107" spans="4:4" x14ac:dyDescent="0.3">
      <c r="D6107" s="348"/>
    </row>
    <row r="6108" spans="4:4" x14ac:dyDescent="0.3">
      <c r="D6108" s="348"/>
    </row>
    <row r="6109" spans="4:4" x14ac:dyDescent="0.3">
      <c r="D6109" s="348"/>
    </row>
    <row r="6110" spans="4:4" x14ac:dyDescent="0.3">
      <c r="D6110" s="348"/>
    </row>
    <row r="6111" spans="4:4" x14ac:dyDescent="0.3">
      <c r="D6111" s="348"/>
    </row>
    <row r="6112" spans="4:4" x14ac:dyDescent="0.3">
      <c r="D6112" s="348"/>
    </row>
    <row r="6113" spans="4:4" x14ac:dyDescent="0.3">
      <c r="D6113" s="348"/>
    </row>
    <row r="6114" spans="4:4" x14ac:dyDescent="0.3">
      <c r="D6114" s="348"/>
    </row>
    <row r="6115" spans="4:4" x14ac:dyDescent="0.3">
      <c r="D6115" s="348"/>
    </row>
    <row r="6116" spans="4:4" x14ac:dyDescent="0.3">
      <c r="D6116" s="348"/>
    </row>
    <row r="6117" spans="4:4" x14ac:dyDescent="0.3">
      <c r="D6117" s="348"/>
    </row>
    <row r="6118" spans="4:4" x14ac:dyDescent="0.3">
      <c r="D6118" s="348"/>
    </row>
    <row r="6119" spans="4:4" x14ac:dyDescent="0.3">
      <c r="D6119" s="348"/>
    </row>
    <row r="6120" spans="4:4" x14ac:dyDescent="0.3">
      <c r="D6120" s="348"/>
    </row>
    <row r="6121" spans="4:4" x14ac:dyDescent="0.3">
      <c r="D6121" s="348"/>
    </row>
    <row r="6122" spans="4:4" x14ac:dyDescent="0.3">
      <c r="D6122" s="348"/>
    </row>
    <row r="6123" spans="4:4" x14ac:dyDescent="0.3">
      <c r="D6123" s="348"/>
    </row>
    <row r="6124" spans="4:4" x14ac:dyDescent="0.3">
      <c r="D6124" s="348"/>
    </row>
    <row r="6125" spans="4:4" x14ac:dyDescent="0.3">
      <c r="D6125" s="348"/>
    </row>
    <row r="6126" spans="4:4" x14ac:dyDescent="0.3">
      <c r="D6126" s="348"/>
    </row>
    <row r="6127" spans="4:4" x14ac:dyDescent="0.3">
      <c r="D6127" s="348"/>
    </row>
    <row r="6128" spans="4:4" x14ac:dyDescent="0.3">
      <c r="D6128" s="348"/>
    </row>
    <row r="6129" spans="4:4" x14ac:dyDescent="0.3">
      <c r="D6129" s="348"/>
    </row>
    <row r="6130" spans="4:4" x14ac:dyDescent="0.3">
      <c r="D6130" s="348"/>
    </row>
    <row r="6131" spans="4:4" x14ac:dyDescent="0.3">
      <c r="D6131" s="348"/>
    </row>
    <row r="6132" spans="4:4" x14ac:dyDescent="0.3">
      <c r="D6132" s="348"/>
    </row>
    <row r="6133" spans="4:4" x14ac:dyDescent="0.3">
      <c r="D6133" s="348"/>
    </row>
    <row r="6134" spans="4:4" x14ac:dyDescent="0.3">
      <c r="D6134" s="348"/>
    </row>
    <row r="6135" spans="4:4" x14ac:dyDescent="0.3">
      <c r="D6135" s="348"/>
    </row>
    <row r="6136" spans="4:4" x14ac:dyDescent="0.3">
      <c r="D6136" s="348"/>
    </row>
    <row r="6137" spans="4:4" x14ac:dyDescent="0.3">
      <c r="D6137" s="348"/>
    </row>
    <row r="6138" spans="4:4" x14ac:dyDescent="0.3">
      <c r="D6138" s="348"/>
    </row>
    <row r="6139" spans="4:4" x14ac:dyDescent="0.3">
      <c r="D6139" s="348"/>
    </row>
    <row r="6140" spans="4:4" x14ac:dyDescent="0.3">
      <c r="D6140" s="348"/>
    </row>
    <row r="6141" spans="4:4" x14ac:dyDescent="0.3">
      <c r="D6141" s="348"/>
    </row>
    <row r="6142" spans="4:4" x14ac:dyDescent="0.3">
      <c r="D6142" s="348"/>
    </row>
    <row r="6143" spans="4:4" x14ac:dyDescent="0.3">
      <c r="D6143" s="348"/>
    </row>
    <row r="6144" spans="4:4" x14ac:dyDescent="0.3">
      <c r="D6144" s="348"/>
    </row>
    <row r="6145" spans="4:4" x14ac:dyDescent="0.3">
      <c r="D6145" s="348"/>
    </row>
    <row r="6146" spans="4:4" x14ac:dyDescent="0.3">
      <c r="D6146" s="348"/>
    </row>
    <row r="6147" spans="4:4" x14ac:dyDescent="0.3">
      <c r="D6147" s="348"/>
    </row>
    <row r="6148" spans="4:4" x14ac:dyDescent="0.3">
      <c r="D6148" s="348"/>
    </row>
    <row r="6149" spans="4:4" x14ac:dyDescent="0.3">
      <c r="D6149" s="348"/>
    </row>
    <row r="6150" spans="4:4" x14ac:dyDescent="0.3">
      <c r="D6150" s="348"/>
    </row>
    <row r="6151" spans="4:4" x14ac:dyDescent="0.3">
      <c r="D6151" s="348"/>
    </row>
    <row r="6152" spans="4:4" x14ac:dyDescent="0.3">
      <c r="D6152" s="348"/>
    </row>
    <row r="6153" spans="4:4" x14ac:dyDescent="0.3">
      <c r="D6153" s="348"/>
    </row>
    <row r="6154" spans="4:4" x14ac:dyDescent="0.3">
      <c r="D6154" s="348"/>
    </row>
    <row r="6155" spans="4:4" x14ac:dyDescent="0.3">
      <c r="D6155" s="348"/>
    </row>
    <row r="6156" spans="4:4" x14ac:dyDescent="0.3">
      <c r="D6156" s="348"/>
    </row>
    <row r="6157" spans="4:4" x14ac:dyDescent="0.3">
      <c r="D6157" s="348"/>
    </row>
    <row r="6158" spans="4:4" x14ac:dyDescent="0.3">
      <c r="D6158" s="348"/>
    </row>
    <row r="6159" spans="4:4" x14ac:dyDescent="0.3">
      <c r="D6159" s="348"/>
    </row>
    <row r="6160" spans="4:4" x14ac:dyDescent="0.3">
      <c r="D6160" s="348"/>
    </row>
    <row r="6161" spans="4:4" x14ac:dyDescent="0.3">
      <c r="D6161" s="348"/>
    </row>
    <row r="6162" spans="4:4" x14ac:dyDescent="0.3">
      <c r="D6162" s="348"/>
    </row>
    <row r="6163" spans="4:4" x14ac:dyDescent="0.3">
      <c r="D6163" s="348"/>
    </row>
    <row r="6164" spans="4:4" x14ac:dyDescent="0.3">
      <c r="D6164" s="348"/>
    </row>
    <row r="6165" spans="4:4" x14ac:dyDescent="0.3">
      <c r="D6165" s="348"/>
    </row>
    <row r="6166" spans="4:4" x14ac:dyDescent="0.3">
      <c r="D6166" s="348"/>
    </row>
    <row r="6167" spans="4:4" x14ac:dyDescent="0.3">
      <c r="D6167" s="348"/>
    </row>
    <row r="6168" spans="4:4" x14ac:dyDescent="0.3">
      <c r="D6168" s="348"/>
    </row>
    <row r="6169" spans="4:4" x14ac:dyDescent="0.3">
      <c r="D6169" s="348"/>
    </row>
    <row r="6170" spans="4:4" x14ac:dyDescent="0.3">
      <c r="D6170" s="348"/>
    </row>
    <row r="6171" spans="4:4" x14ac:dyDescent="0.3">
      <c r="D6171" s="348"/>
    </row>
    <row r="6172" spans="4:4" x14ac:dyDescent="0.3">
      <c r="D6172" s="348"/>
    </row>
    <row r="6173" spans="4:4" x14ac:dyDescent="0.3">
      <c r="D6173" s="348"/>
    </row>
    <row r="6174" spans="4:4" x14ac:dyDescent="0.3">
      <c r="D6174" s="348"/>
    </row>
    <row r="6175" spans="4:4" x14ac:dyDescent="0.3">
      <c r="D6175" s="348"/>
    </row>
    <row r="6176" spans="4:4" x14ac:dyDescent="0.3">
      <c r="D6176" s="348"/>
    </row>
    <row r="6177" spans="4:4" x14ac:dyDescent="0.3">
      <c r="D6177" s="348"/>
    </row>
    <row r="6178" spans="4:4" x14ac:dyDescent="0.3">
      <c r="D6178" s="348"/>
    </row>
    <row r="6179" spans="4:4" x14ac:dyDescent="0.3">
      <c r="D6179" s="348"/>
    </row>
    <row r="6180" spans="4:4" x14ac:dyDescent="0.3">
      <c r="D6180" s="348"/>
    </row>
    <row r="6181" spans="4:4" x14ac:dyDescent="0.3">
      <c r="D6181" s="348"/>
    </row>
    <row r="6182" spans="4:4" x14ac:dyDescent="0.3">
      <c r="D6182" s="348"/>
    </row>
    <row r="6183" spans="4:4" x14ac:dyDescent="0.3">
      <c r="D6183" s="348"/>
    </row>
    <row r="6184" spans="4:4" x14ac:dyDescent="0.3">
      <c r="D6184" s="348"/>
    </row>
    <row r="6185" spans="4:4" x14ac:dyDescent="0.3">
      <c r="D6185" s="348"/>
    </row>
    <row r="6186" spans="4:4" x14ac:dyDescent="0.3">
      <c r="D6186" s="348"/>
    </row>
    <row r="6187" spans="4:4" x14ac:dyDescent="0.3">
      <c r="D6187" s="348"/>
    </row>
    <row r="6188" spans="4:4" x14ac:dyDescent="0.3">
      <c r="D6188" s="348"/>
    </row>
    <row r="6189" spans="4:4" x14ac:dyDescent="0.3">
      <c r="D6189" s="348"/>
    </row>
    <row r="6190" spans="4:4" x14ac:dyDescent="0.3">
      <c r="D6190" s="348"/>
    </row>
    <row r="6191" spans="4:4" x14ac:dyDescent="0.3">
      <c r="D6191" s="348"/>
    </row>
    <row r="6192" spans="4:4" x14ac:dyDescent="0.3">
      <c r="D6192" s="348"/>
    </row>
    <row r="6193" spans="4:4" x14ac:dyDescent="0.3">
      <c r="D6193" s="348"/>
    </row>
    <row r="6194" spans="4:4" x14ac:dyDescent="0.3">
      <c r="D6194" s="348"/>
    </row>
    <row r="6195" spans="4:4" x14ac:dyDescent="0.3">
      <c r="D6195" s="348"/>
    </row>
    <row r="6196" spans="4:4" x14ac:dyDescent="0.3">
      <c r="D6196" s="348"/>
    </row>
    <row r="6197" spans="4:4" x14ac:dyDescent="0.3">
      <c r="D6197" s="348"/>
    </row>
    <row r="6198" spans="4:4" x14ac:dyDescent="0.3">
      <c r="D6198" s="348"/>
    </row>
    <row r="6199" spans="4:4" x14ac:dyDescent="0.3">
      <c r="D6199" s="348"/>
    </row>
    <row r="6200" spans="4:4" x14ac:dyDescent="0.3">
      <c r="D6200" s="348"/>
    </row>
    <row r="6201" spans="4:4" x14ac:dyDescent="0.3">
      <c r="D6201" s="348"/>
    </row>
    <row r="6202" spans="4:4" x14ac:dyDescent="0.3">
      <c r="D6202" s="348"/>
    </row>
    <row r="6203" spans="4:4" x14ac:dyDescent="0.3">
      <c r="D6203" s="348"/>
    </row>
    <row r="6204" spans="4:4" x14ac:dyDescent="0.3">
      <c r="D6204" s="348"/>
    </row>
    <row r="6205" spans="4:4" x14ac:dyDescent="0.3">
      <c r="D6205" s="348"/>
    </row>
    <row r="6206" spans="4:4" x14ac:dyDescent="0.3">
      <c r="D6206" s="348"/>
    </row>
    <row r="6207" spans="4:4" x14ac:dyDescent="0.3">
      <c r="D6207" s="348"/>
    </row>
    <row r="6208" spans="4:4" x14ac:dyDescent="0.3">
      <c r="D6208" s="348"/>
    </row>
    <row r="6209" spans="4:4" x14ac:dyDescent="0.3">
      <c r="D6209" s="348"/>
    </row>
    <row r="6210" spans="4:4" x14ac:dyDescent="0.3">
      <c r="D6210" s="348"/>
    </row>
    <row r="6211" spans="4:4" x14ac:dyDescent="0.3">
      <c r="D6211" s="348"/>
    </row>
    <row r="6212" spans="4:4" x14ac:dyDescent="0.3">
      <c r="D6212" s="348"/>
    </row>
    <row r="6213" spans="4:4" x14ac:dyDescent="0.3">
      <c r="D6213" s="348"/>
    </row>
    <row r="6214" spans="4:4" x14ac:dyDescent="0.3">
      <c r="D6214" s="348"/>
    </row>
    <row r="6215" spans="4:4" x14ac:dyDescent="0.3">
      <c r="D6215" s="348"/>
    </row>
    <row r="6216" spans="4:4" x14ac:dyDescent="0.3">
      <c r="D6216" s="348"/>
    </row>
    <row r="6217" spans="4:4" x14ac:dyDescent="0.3">
      <c r="D6217" s="348"/>
    </row>
    <row r="6218" spans="4:4" x14ac:dyDescent="0.3">
      <c r="D6218" s="348"/>
    </row>
    <row r="6219" spans="4:4" x14ac:dyDescent="0.3">
      <c r="D6219" s="348"/>
    </row>
    <row r="6220" spans="4:4" x14ac:dyDescent="0.3">
      <c r="D6220" s="348"/>
    </row>
    <row r="6221" spans="4:4" x14ac:dyDescent="0.3">
      <c r="D6221" s="348"/>
    </row>
    <row r="6222" spans="4:4" x14ac:dyDescent="0.3">
      <c r="D6222" s="348"/>
    </row>
    <row r="6223" spans="4:4" x14ac:dyDescent="0.3">
      <c r="D6223" s="348"/>
    </row>
    <row r="6224" spans="4:4" x14ac:dyDescent="0.3">
      <c r="D6224" s="348"/>
    </row>
    <row r="6225" spans="4:4" x14ac:dyDescent="0.3">
      <c r="D6225" s="348"/>
    </row>
    <row r="6226" spans="4:4" x14ac:dyDescent="0.3">
      <c r="D6226" s="348"/>
    </row>
    <row r="6227" spans="4:4" x14ac:dyDescent="0.3">
      <c r="D6227" s="348"/>
    </row>
    <row r="6228" spans="4:4" x14ac:dyDescent="0.3">
      <c r="D6228" s="348"/>
    </row>
    <row r="6229" spans="4:4" x14ac:dyDescent="0.3">
      <c r="D6229" s="348"/>
    </row>
    <row r="6230" spans="4:4" x14ac:dyDescent="0.3">
      <c r="D6230" s="348"/>
    </row>
    <row r="6231" spans="4:4" x14ac:dyDescent="0.3">
      <c r="D6231" s="348"/>
    </row>
    <row r="6232" spans="4:4" x14ac:dyDescent="0.3">
      <c r="D6232" s="348"/>
    </row>
    <row r="6233" spans="4:4" x14ac:dyDescent="0.3">
      <c r="D6233" s="348"/>
    </row>
    <row r="6234" spans="4:4" x14ac:dyDescent="0.3">
      <c r="D6234" s="348"/>
    </row>
    <row r="6235" spans="4:4" x14ac:dyDescent="0.3">
      <c r="D6235" s="348"/>
    </row>
    <row r="6236" spans="4:4" x14ac:dyDescent="0.3">
      <c r="D6236" s="348"/>
    </row>
    <row r="6237" spans="4:4" x14ac:dyDescent="0.3">
      <c r="D6237" s="348"/>
    </row>
    <row r="6238" spans="4:4" x14ac:dyDescent="0.3">
      <c r="D6238" s="348"/>
    </row>
    <row r="6239" spans="4:4" x14ac:dyDescent="0.3">
      <c r="D6239" s="348"/>
    </row>
    <row r="6240" spans="4:4" x14ac:dyDescent="0.3">
      <c r="D6240" s="348"/>
    </row>
    <row r="6241" spans="4:4" x14ac:dyDescent="0.3">
      <c r="D6241" s="348"/>
    </row>
    <row r="6242" spans="4:4" x14ac:dyDescent="0.3">
      <c r="D6242" s="348"/>
    </row>
    <row r="6243" spans="4:4" x14ac:dyDescent="0.3">
      <c r="D6243" s="348"/>
    </row>
    <row r="6244" spans="4:4" x14ac:dyDescent="0.3">
      <c r="D6244" s="348"/>
    </row>
    <row r="6245" spans="4:4" x14ac:dyDescent="0.3">
      <c r="D6245" s="348"/>
    </row>
    <row r="6246" spans="4:4" x14ac:dyDescent="0.3">
      <c r="D6246" s="348"/>
    </row>
    <row r="6247" spans="4:4" x14ac:dyDescent="0.3">
      <c r="D6247" s="348"/>
    </row>
    <row r="6248" spans="4:4" x14ac:dyDescent="0.3">
      <c r="D6248" s="348"/>
    </row>
    <row r="6249" spans="4:4" x14ac:dyDescent="0.3">
      <c r="D6249" s="348"/>
    </row>
    <row r="6250" spans="4:4" x14ac:dyDescent="0.3">
      <c r="D6250" s="348"/>
    </row>
    <row r="6251" spans="4:4" x14ac:dyDescent="0.3">
      <c r="D6251" s="348"/>
    </row>
    <row r="6252" spans="4:4" x14ac:dyDescent="0.3">
      <c r="D6252" s="348"/>
    </row>
    <row r="6253" spans="4:4" x14ac:dyDescent="0.3">
      <c r="D6253" s="348"/>
    </row>
    <row r="6254" spans="4:4" x14ac:dyDescent="0.3">
      <c r="D6254" s="348"/>
    </row>
    <row r="6255" spans="4:4" x14ac:dyDescent="0.3">
      <c r="D6255" s="348"/>
    </row>
    <row r="6256" spans="4:4" x14ac:dyDescent="0.3">
      <c r="D6256" s="348"/>
    </row>
    <row r="6257" spans="4:4" x14ac:dyDescent="0.3">
      <c r="D6257" s="348"/>
    </row>
    <row r="6258" spans="4:4" x14ac:dyDescent="0.3">
      <c r="D6258" s="348"/>
    </row>
    <row r="6259" spans="4:4" x14ac:dyDescent="0.3">
      <c r="D6259" s="348"/>
    </row>
    <row r="6260" spans="4:4" x14ac:dyDescent="0.3">
      <c r="D6260" s="348"/>
    </row>
    <row r="6261" spans="4:4" x14ac:dyDescent="0.3">
      <c r="D6261" s="348"/>
    </row>
    <row r="6262" spans="4:4" x14ac:dyDescent="0.3">
      <c r="D6262" s="348"/>
    </row>
    <row r="6263" spans="4:4" x14ac:dyDescent="0.3">
      <c r="D6263" s="348"/>
    </row>
    <row r="6264" spans="4:4" x14ac:dyDescent="0.3">
      <c r="D6264" s="348"/>
    </row>
    <row r="6265" spans="4:4" x14ac:dyDescent="0.3">
      <c r="D6265" s="348"/>
    </row>
    <row r="6266" spans="4:4" x14ac:dyDescent="0.3">
      <c r="D6266" s="348"/>
    </row>
    <row r="6267" spans="4:4" x14ac:dyDescent="0.3">
      <c r="D6267" s="348"/>
    </row>
    <row r="6268" spans="4:4" x14ac:dyDescent="0.3">
      <c r="D6268" s="348"/>
    </row>
    <row r="6269" spans="4:4" x14ac:dyDescent="0.3">
      <c r="D6269" s="348"/>
    </row>
    <row r="6270" spans="4:4" x14ac:dyDescent="0.3">
      <c r="D6270" s="348"/>
    </row>
    <row r="6271" spans="4:4" x14ac:dyDescent="0.3">
      <c r="D6271" s="348"/>
    </row>
    <row r="6272" spans="4:4" x14ac:dyDescent="0.3">
      <c r="D6272" s="348"/>
    </row>
    <row r="6273" spans="4:4" x14ac:dyDescent="0.3">
      <c r="D6273" s="348"/>
    </row>
    <row r="6274" spans="4:4" x14ac:dyDescent="0.3">
      <c r="D6274" s="348"/>
    </row>
    <row r="6275" spans="4:4" x14ac:dyDescent="0.3">
      <c r="D6275" s="348"/>
    </row>
    <row r="6276" spans="4:4" x14ac:dyDescent="0.3">
      <c r="D6276" s="348"/>
    </row>
    <row r="6277" spans="4:4" x14ac:dyDescent="0.3">
      <c r="D6277" s="348"/>
    </row>
    <row r="6278" spans="4:4" x14ac:dyDescent="0.3">
      <c r="D6278" s="348"/>
    </row>
    <row r="6279" spans="4:4" x14ac:dyDescent="0.3">
      <c r="D6279" s="348"/>
    </row>
    <row r="6280" spans="4:4" x14ac:dyDescent="0.3">
      <c r="D6280" s="348"/>
    </row>
    <row r="6281" spans="4:4" x14ac:dyDescent="0.3">
      <c r="D6281" s="348"/>
    </row>
    <row r="6282" spans="4:4" x14ac:dyDescent="0.3">
      <c r="D6282" s="348"/>
    </row>
    <row r="6283" spans="4:4" x14ac:dyDescent="0.3">
      <c r="D6283" s="348"/>
    </row>
    <row r="6284" spans="4:4" x14ac:dyDescent="0.3">
      <c r="D6284" s="348"/>
    </row>
    <row r="6285" spans="4:4" x14ac:dyDescent="0.3">
      <c r="D6285" s="348"/>
    </row>
    <row r="6286" spans="4:4" x14ac:dyDescent="0.3">
      <c r="D6286" s="348"/>
    </row>
    <row r="6287" spans="4:4" x14ac:dyDescent="0.3">
      <c r="D6287" s="348"/>
    </row>
    <row r="6288" spans="4:4" x14ac:dyDescent="0.3">
      <c r="D6288" s="348"/>
    </row>
    <row r="6289" spans="4:4" x14ac:dyDescent="0.3">
      <c r="D6289" s="348"/>
    </row>
    <row r="6290" spans="4:4" x14ac:dyDescent="0.3">
      <c r="D6290" s="348"/>
    </row>
    <row r="6291" spans="4:4" x14ac:dyDescent="0.3">
      <c r="D6291" s="348"/>
    </row>
    <row r="6292" spans="4:4" x14ac:dyDescent="0.3">
      <c r="D6292" s="348"/>
    </row>
    <row r="6293" spans="4:4" x14ac:dyDescent="0.3">
      <c r="D6293" s="348"/>
    </row>
    <row r="6294" spans="4:4" x14ac:dyDescent="0.3">
      <c r="D6294" s="348"/>
    </row>
    <row r="6295" spans="4:4" x14ac:dyDescent="0.3">
      <c r="D6295" s="348"/>
    </row>
    <row r="6296" spans="4:4" x14ac:dyDescent="0.3">
      <c r="D6296" s="348"/>
    </row>
    <row r="6297" spans="4:4" x14ac:dyDescent="0.3">
      <c r="D6297" s="348"/>
    </row>
    <row r="6298" spans="4:4" x14ac:dyDescent="0.3">
      <c r="D6298" s="348"/>
    </row>
    <row r="6299" spans="4:4" x14ac:dyDescent="0.3">
      <c r="D6299" s="348"/>
    </row>
    <row r="6300" spans="4:4" x14ac:dyDescent="0.3">
      <c r="D6300" s="348"/>
    </row>
    <row r="6301" spans="4:4" x14ac:dyDescent="0.3">
      <c r="D6301" s="348"/>
    </row>
    <row r="6302" spans="4:4" x14ac:dyDescent="0.3">
      <c r="D6302" s="348"/>
    </row>
    <row r="6303" spans="4:4" x14ac:dyDescent="0.3">
      <c r="D6303" s="348"/>
    </row>
    <row r="6304" spans="4:4" x14ac:dyDescent="0.3">
      <c r="D6304" s="348"/>
    </row>
    <row r="6305" spans="4:4" x14ac:dyDescent="0.3">
      <c r="D6305" s="348"/>
    </row>
    <row r="6306" spans="4:4" x14ac:dyDescent="0.3">
      <c r="D6306" s="348"/>
    </row>
    <row r="6307" spans="4:4" x14ac:dyDescent="0.3">
      <c r="D6307" s="348"/>
    </row>
    <row r="6308" spans="4:4" x14ac:dyDescent="0.3">
      <c r="D6308" s="348"/>
    </row>
    <row r="6309" spans="4:4" x14ac:dyDescent="0.3">
      <c r="D6309" s="348"/>
    </row>
    <row r="6310" spans="4:4" x14ac:dyDescent="0.3">
      <c r="D6310" s="348"/>
    </row>
    <row r="6311" spans="4:4" x14ac:dyDescent="0.3">
      <c r="D6311" s="348"/>
    </row>
    <row r="6312" spans="4:4" x14ac:dyDescent="0.3">
      <c r="D6312" s="348"/>
    </row>
    <row r="6313" spans="4:4" x14ac:dyDescent="0.3">
      <c r="D6313" s="348"/>
    </row>
    <row r="6314" spans="4:4" x14ac:dyDescent="0.3">
      <c r="D6314" s="348"/>
    </row>
    <row r="6315" spans="4:4" x14ac:dyDescent="0.3">
      <c r="D6315" s="348"/>
    </row>
    <row r="6316" spans="4:4" x14ac:dyDescent="0.3">
      <c r="D6316" s="348"/>
    </row>
    <row r="6317" spans="4:4" x14ac:dyDescent="0.3">
      <c r="D6317" s="348"/>
    </row>
    <row r="6318" spans="4:4" x14ac:dyDescent="0.3">
      <c r="D6318" s="348"/>
    </row>
    <row r="6319" spans="4:4" x14ac:dyDescent="0.3">
      <c r="D6319" s="348"/>
    </row>
    <row r="6320" spans="4:4" x14ac:dyDescent="0.3">
      <c r="D6320" s="348"/>
    </row>
    <row r="6321" spans="4:4" x14ac:dyDescent="0.3">
      <c r="D6321" s="348"/>
    </row>
    <row r="6322" spans="4:4" x14ac:dyDescent="0.3">
      <c r="D6322" s="348"/>
    </row>
    <row r="6323" spans="4:4" x14ac:dyDescent="0.3">
      <c r="D6323" s="348"/>
    </row>
    <row r="6324" spans="4:4" x14ac:dyDescent="0.3">
      <c r="D6324" s="348"/>
    </row>
    <row r="6325" spans="4:4" x14ac:dyDescent="0.3">
      <c r="D6325" s="348"/>
    </row>
    <row r="6326" spans="4:4" x14ac:dyDescent="0.3">
      <c r="D6326" s="348"/>
    </row>
    <row r="6327" spans="4:4" x14ac:dyDescent="0.3">
      <c r="D6327" s="348"/>
    </row>
    <row r="6328" spans="4:4" x14ac:dyDescent="0.3">
      <c r="D6328" s="348"/>
    </row>
    <row r="6329" spans="4:4" x14ac:dyDescent="0.3">
      <c r="D6329" s="348"/>
    </row>
    <row r="6330" spans="4:4" x14ac:dyDescent="0.3">
      <c r="D6330" s="348"/>
    </row>
    <row r="6331" spans="4:4" x14ac:dyDescent="0.3">
      <c r="D6331" s="348"/>
    </row>
    <row r="6332" spans="4:4" x14ac:dyDescent="0.3">
      <c r="D6332" s="348"/>
    </row>
    <row r="6333" spans="4:4" x14ac:dyDescent="0.3">
      <c r="D6333" s="348"/>
    </row>
    <row r="6334" spans="4:4" x14ac:dyDescent="0.3">
      <c r="D6334" s="348"/>
    </row>
    <row r="6335" spans="4:4" x14ac:dyDescent="0.3">
      <c r="D6335" s="348"/>
    </row>
    <row r="6336" spans="4:4" x14ac:dyDescent="0.3">
      <c r="D6336" s="348"/>
    </row>
    <row r="6337" spans="4:4" x14ac:dyDescent="0.3">
      <c r="D6337" s="348"/>
    </row>
    <row r="6338" spans="4:4" x14ac:dyDescent="0.3">
      <c r="D6338" s="348"/>
    </row>
    <row r="6339" spans="4:4" x14ac:dyDescent="0.3">
      <c r="D6339" s="348"/>
    </row>
    <row r="6340" spans="4:4" x14ac:dyDescent="0.3">
      <c r="D6340" s="348"/>
    </row>
    <row r="6341" spans="4:4" x14ac:dyDescent="0.3">
      <c r="D6341" s="348"/>
    </row>
    <row r="6342" spans="4:4" x14ac:dyDescent="0.3">
      <c r="D6342" s="348"/>
    </row>
    <row r="6343" spans="4:4" x14ac:dyDescent="0.3">
      <c r="D6343" s="348"/>
    </row>
    <row r="6344" spans="4:4" x14ac:dyDescent="0.3">
      <c r="D6344" s="348"/>
    </row>
    <row r="6345" spans="4:4" x14ac:dyDescent="0.3">
      <c r="D6345" s="348"/>
    </row>
    <row r="6346" spans="4:4" x14ac:dyDescent="0.3">
      <c r="D6346" s="348"/>
    </row>
    <row r="6347" spans="4:4" x14ac:dyDescent="0.3">
      <c r="D6347" s="348"/>
    </row>
    <row r="6348" spans="4:4" x14ac:dyDescent="0.3">
      <c r="D6348" s="348"/>
    </row>
    <row r="6349" spans="4:4" x14ac:dyDescent="0.3">
      <c r="D6349" s="348"/>
    </row>
    <row r="6350" spans="4:4" x14ac:dyDescent="0.3">
      <c r="D6350" s="348"/>
    </row>
    <row r="6351" spans="4:4" x14ac:dyDescent="0.3">
      <c r="D6351" s="348"/>
    </row>
    <row r="6352" spans="4:4" x14ac:dyDescent="0.3">
      <c r="D6352" s="348"/>
    </row>
    <row r="6353" spans="4:4" x14ac:dyDescent="0.3">
      <c r="D6353" s="348"/>
    </row>
    <row r="6354" spans="4:4" x14ac:dyDescent="0.3">
      <c r="D6354" s="348"/>
    </row>
    <row r="6355" spans="4:4" x14ac:dyDescent="0.3">
      <c r="D6355" s="348"/>
    </row>
    <row r="6356" spans="4:4" x14ac:dyDescent="0.3">
      <c r="D6356" s="348"/>
    </row>
    <row r="6357" spans="4:4" x14ac:dyDescent="0.3">
      <c r="D6357" s="348"/>
    </row>
    <row r="6358" spans="4:4" x14ac:dyDescent="0.3">
      <c r="D6358" s="348"/>
    </row>
    <row r="6359" spans="4:4" x14ac:dyDescent="0.3">
      <c r="D6359" s="348"/>
    </row>
    <row r="6360" spans="4:4" x14ac:dyDescent="0.3">
      <c r="D6360" s="348"/>
    </row>
    <row r="6361" spans="4:4" x14ac:dyDescent="0.3">
      <c r="D6361" s="348"/>
    </row>
    <row r="6362" spans="4:4" x14ac:dyDescent="0.3">
      <c r="D6362" s="348"/>
    </row>
    <row r="6363" spans="4:4" x14ac:dyDescent="0.3">
      <c r="D6363" s="348"/>
    </row>
    <row r="6364" spans="4:4" x14ac:dyDescent="0.3">
      <c r="D6364" s="348"/>
    </row>
    <row r="6365" spans="4:4" x14ac:dyDescent="0.3">
      <c r="D6365" s="348"/>
    </row>
    <row r="6366" spans="4:4" x14ac:dyDescent="0.3">
      <c r="D6366" s="348"/>
    </row>
    <row r="6367" spans="4:4" x14ac:dyDescent="0.3">
      <c r="D6367" s="348"/>
    </row>
    <row r="6368" spans="4:4" x14ac:dyDescent="0.3">
      <c r="D6368" s="348"/>
    </row>
    <row r="6369" spans="4:4" x14ac:dyDescent="0.3">
      <c r="D6369" s="348"/>
    </row>
    <row r="6370" spans="4:4" x14ac:dyDescent="0.3">
      <c r="D6370" s="348"/>
    </row>
    <row r="6371" spans="4:4" x14ac:dyDescent="0.3">
      <c r="D6371" s="348"/>
    </row>
    <row r="6372" spans="4:4" x14ac:dyDescent="0.3">
      <c r="D6372" s="348"/>
    </row>
    <row r="6373" spans="4:4" x14ac:dyDescent="0.3">
      <c r="D6373" s="348"/>
    </row>
    <row r="6374" spans="4:4" x14ac:dyDescent="0.3">
      <c r="D6374" s="348"/>
    </row>
    <row r="6375" spans="4:4" x14ac:dyDescent="0.3">
      <c r="D6375" s="348"/>
    </row>
    <row r="6376" spans="4:4" x14ac:dyDescent="0.3">
      <c r="D6376" s="348"/>
    </row>
    <row r="6377" spans="4:4" x14ac:dyDescent="0.3">
      <c r="D6377" s="348"/>
    </row>
    <row r="6378" spans="4:4" x14ac:dyDescent="0.3">
      <c r="D6378" s="348"/>
    </row>
    <row r="6379" spans="4:4" x14ac:dyDescent="0.3">
      <c r="D6379" s="348"/>
    </row>
    <row r="6380" spans="4:4" x14ac:dyDescent="0.3">
      <c r="D6380" s="348"/>
    </row>
    <row r="6381" spans="4:4" x14ac:dyDescent="0.3">
      <c r="D6381" s="348"/>
    </row>
    <row r="6382" spans="4:4" x14ac:dyDescent="0.3">
      <c r="D6382" s="348"/>
    </row>
    <row r="6383" spans="4:4" x14ac:dyDescent="0.3">
      <c r="D6383" s="348"/>
    </row>
    <row r="6384" spans="4:4" x14ac:dyDescent="0.3">
      <c r="D6384" s="348"/>
    </row>
    <row r="6385" spans="4:4" x14ac:dyDescent="0.3">
      <c r="D6385" s="348"/>
    </row>
    <row r="6386" spans="4:4" x14ac:dyDescent="0.3">
      <c r="D6386" s="348"/>
    </row>
    <row r="6387" spans="4:4" x14ac:dyDescent="0.3">
      <c r="D6387" s="348"/>
    </row>
    <row r="6388" spans="4:4" x14ac:dyDescent="0.3">
      <c r="D6388" s="348"/>
    </row>
    <row r="6389" spans="4:4" x14ac:dyDescent="0.3">
      <c r="D6389" s="348"/>
    </row>
    <row r="6390" spans="4:4" x14ac:dyDescent="0.3">
      <c r="D6390" s="348"/>
    </row>
    <row r="6391" spans="4:4" x14ac:dyDescent="0.3">
      <c r="D6391" s="348"/>
    </row>
    <row r="6392" spans="4:4" x14ac:dyDescent="0.3">
      <c r="D6392" s="348"/>
    </row>
    <row r="6393" spans="4:4" x14ac:dyDescent="0.3">
      <c r="D6393" s="348"/>
    </row>
    <row r="6394" spans="4:4" x14ac:dyDescent="0.3">
      <c r="D6394" s="348"/>
    </row>
    <row r="6395" spans="4:4" x14ac:dyDescent="0.3">
      <c r="D6395" s="348"/>
    </row>
    <row r="6396" spans="4:4" x14ac:dyDescent="0.3">
      <c r="D6396" s="348"/>
    </row>
    <row r="6397" spans="4:4" x14ac:dyDescent="0.3">
      <c r="D6397" s="348"/>
    </row>
    <row r="6398" spans="4:4" x14ac:dyDescent="0.3">
      <c r="D6398" s="348"/>
    </row>
    <row r="6399" spans="4:4" x14ac:dyDescent="0.3">
      <c r="D6399" s="348"/>
    </row>
    <row r="6400" spans="4:4" x14ac:dyDescent="0.3">
      <c r="D6400" s="348"/>
    </row>
    <row r="6401" spans="4:4" x14ac:dyDescent="0.3">
      <c r="D6401" s="348"/>
    </row>
    <row r="6402" spans="4:4" x14ac:dyDescent="0.3">
      <c r="D6402" s="348"/>
    </row>
    <row r="6403" spans="4:4" x14ac:dyDescent="0.3">
      <c r="D6403" s="348"/>
    </row>
    <row r="6404" spans="4:4" x14ac:dyDescent="0.3">
      <c r="D6404" s="348"/>
    </row>
    <row r="6405" spans="4:4" x14ac:dyDescent="0.3">
      <c r="D6405" s="348"/>
    </row>
    <row r="6406" spans="4:4" x14ac:dyDescent="0.3">
      <c r="D6406" s="348"/>
    </row>
    <row r="6407" spans="4:4" x14ac:dyDescent="0.3">
      <c r="D6407" s="348"/>
    </row>
    <row r="6408" spans="4:4" x14ac:dyDescent="0.3">
      <c r="D6408" s="348"/>
    </row>
    <row r="6409" spans="4:4" x14ac:dyDescent="0.3">
      <c r="D6409" s="348"/>
    </row>
    <row r="6410" spans="4:4" x14ac:dyDescent="0.3">
      <c r="D6410" s="348"/>
    </row>
    <row r="6411" spans="4:4" x14ac:dyDescent="0.3">
      <c r="D6411" s="348"/>
    </row>
    <row r="6412" spans="4:4" x14ac:dyDescent="0.3">
      <c r="D6412" s="348"/>
    </row>
    <row r="6413" spans="4:4" x14ac:dyDescent="0.3">
      <c r="D6413" s="348"/>
    </row>
    <row r="6414" spans="4:4" x14ac:dyDescent="0.3">
      <c r="D6414" s="348"/>
    </row>
    <row r="6415" spans="4:4" x14ac:dyDescent="0.3">
      <c r="D6415" s="348"/>
    </row>
    <row r="6416" spans="4:4" x14ac:dyDescent="0.3">
      <c r="D6416" s="348"/>
    </row>
    <row r="6417" spans="4:4" x14ac:dyDescent="0.3">
      <c r="D6417" s="348"/>
    </row>
    <row r="6418" spans="4:4" x14ac:dyDescent="0.3">
      <c r="D6418" s="348"/>
    </row>
    <row r="6419" spans="4:4" x14ac:dyDescent="0.3">
      <c r="D6419" s="348"/>
    </row>
    <row r="6420" spans="4:4" x14ac:dyDescent="0.3">
      <c r="D6420" s="348"/>
    </row>
    <row r="6421" spans="4:4" x14ac:dyDescent="0.3">
      <c r="D6421" s="348"/>
    </row>
    <row r="6422" spans="4:4" x14ac:dyDescent="0.3">
      <c r="D6422" s="348"/>
    </row>
    <row r="6423" spans="4:4" x14ac:dyDescent="0.3">
      <c r="D6423" s="348"/>
    </row>
    <row r="6424" spans="4:4" x14ac:dyDescent="0.3">
      <c r="D6424" s="348"/>
    </row>
    <row r="6425" spans="4:4" x14ac:dyDescent="0.3">
      <c r="D6425" s="348"/>
    </row>
    <row r="6426" spans="4:4" x14ac:dyDescent="0.3">
      <c r="D6426" s="348"/>
    </row>
    <row r="6427" spans="4:4" x14ac:dyDescent="0.3">
      <c r="D6427" s="348"/>
    </row>
    <row r="6428" spans="4:4" x14ac:dyDescent="0.3">
      <c r="D6428" s="348"/>
    </row>
    <row r="6429" spans="4:4" x14ac:dyDescent="0.3">
      <c r="D6429" s="348"/>
    </row>
    <row r="6430" spans="4:4" x14ac:dyDescent="0.3">
      <c r="D6430" s="348"/>
    </row>
    <row r="6431" spans="4:4" x14ac:dyDescent="0.3">
      <c r="D6431" s="348"/>
    </row>
    <row r="6432" spans="4:4" x14ac:dyDescent="0.3">
      <c r="D6432" s="348"/>
    </row>
    <row r="6433" spans="4:4" x14ac:dyDescent="0.3">
      <c r="D6433" s="348"/>
    </row>
    <row r="6434" spans="4:4" x14ac:dyDescent="0.3">
      <c r="D6434" s="348"/>
    </row>
    <row r="6435" spans="4:4" x14ac:dyDescent="0.3">
      <c r="D6435" s="348"/>
    </row>
    <row r="6436" spans="4:4" x14ac:dyDescent="0.3">
      <c r="D6436" s="348"/>
    </row>
    <row r="6437" spans="4:4" x14ac:dyDescent="0.3">
      <c r="D6437" s="348"/>
    </row>
    <row r="6438" spans="4:4" x14ac:dyDescent="0.3">
      <c r="D6438" s="348"/>
    </row>
    <row r="6439" spans="4:4" x14ac:dyDescent="0.3">
      <c r="D6439" s="348"/>
    </row>
    <row r="6440" spans="4:4" x14ac:dyDescent="0.3">
      <c r="D6440" s="348"/>
    </row>
    <row r="6441" spans="4:4" x14ac:dyDescent="0.3">
      <c r="D6441" s="348"/>
    </row>
    <row r="6442" spans="4:4" x14ac:dyDescent="0.3">
      <c r="D6442" s="348"/>
    </row>
    <row r="6443" spans="4:4" x14ac:dyDescent="0.3">
      <c r="D6443" s="348"/>
    </row>
    <row r="6444" spans="4:4" x14ac:dyDescent="0.3">
      <c r="D6444" s="348"/>
    </row>
    <row r="6445" spans="4:4" x14ac:dyDescent="0.3">
      <c r="D6445" s="348"/>
    </row>
    <row r="6446" spans="4:4" x14ac:dyDescent="0.3">
      <c r="D6446" s="348"/>
    </row>
    <row r="6447" spans="4:4" x14ac:dyDescent="0.3">
      <c r="D6447" s="348"/>
    </row>
    <row r="6448" spans="4:4" x14ac:dyDescent="0.3">
      <c r="D6448" s="348"/>
    </row>
    <row r="6449" spans="4:4" x14ac:dyDescent="0.3">
      <c r="D6449" s="348"/>
    </row>
    <row r="6450" spans="4:4" x14ac:dyDescent="0.3">
      <c r="D6450" s="348"/>
    </row>
    <row r="6451" spans="4:4" x14ac:dyDescent="0.3">
      <c r="D6451" s="348"/>
    </row>
    <row r="6452" spans="4:4" x14ac:dyDescent="0.3">
      <c r="D6452" s="348"/>
    </row>
    <row r="6453" spans="4:4" x14ac:dyDescent="0.3">
      <c r="D6453" s="348"/>
    </row>
    <row r="6454" spans="4:4" x14ac:dyDescent="0.3">
      <c r="D6454" s="348"/>
    </row>
    <row r="6455" spans="4:4" x14ac:dyDescent="0.3">
      <c r="D6455" s="348"/>
    </row>
    <row r="6456" spans="4:4" x14ac:dyDescent="0.3">
      <c r="D6456" s="348"/>
    </row>
    <row r="6457" spans="4:4" x14ac:dyDescent="0.3">
      <c r="D6457" s="348"/>
    </row>
    <row r="6458" spans="4:4" x14ac:dyDescent="0.3">
      <c r="D6458" s="348"/>
    </row>
    <row r="6459" spans="4:4" x14ac:dyDescent="0.3">
      <c r="D6459" s="348"/>
    </row>
    <row r="6460" spans="4:4" x14ac:dyDescent="0.3">
      <c r="D6460" s="348"/>
    </row>
    <row r="6461" spans="4:4" x14ac:dyDescent="0.3">
      <c r="D6461" s="348"/>
    </row>
    <row r="6462" spans="4:4" x14ac:dyDescent="0.3">
      <c r="D6462" s="348"/>
    </row>
    <row r="6463" spans="4:4" x14ac:dyDescent="0.3">
      <c r="D6463" s="348"/>
    </row>
    <row r="6464" spans="4:4" x14ac:dyDescent="0.3">
      <c r="D6464" s="348"/>
    </row>
    <row r="6465" spans="4:4" x14ac:dyDescent="0.3">
      <c r="D6465" s="348"/>
    </row>
    <row r="6466" spans="4:4" x14ac:dyDescent="0.3">
      <c r="D6466" s="348"/>
    </row>
    <row r="6467" spans="4:4" x14ac:dyDescent="0.3">
      <c r="D6467" s="348"/>
    </row>
    <row r="6468" spans="4:4" x14ac:dyDescent="0.3">
      <c r="D6468" s="348"/>
    </row>
    <row r="6469" spans="4:4" x14ac:dyDescent="0.3">
      <c r="D6469" s="348"/>
    </row>
    <row r="6470" spans="4:4" x14ac:dyDescent="0.3">
      <c r="D6470" s="348"/>
    </row>
    <row r="6471" spans="4:4" x14ac:dyDescent="0.3">
      <c r="D6471" s="348"/>
    </row>
    <row r="6472" spans="4:4" x14ac:dyDescent="0.3">
      <c r="D6472" s="348"/>
    </row>
    <row r="6473" spans="4:4" x14ac:dyDescent="0.3">
      <c r="D6473" s="348"/>
    </row>
    <row r="6474" spans="4:4" x14ac:dyDescent="0.3">
      <c r="D6474" s="348"/>
    </row>
    <row r="6475" spans="4:4" x14ac:dyDescent="0.3">
      <c r="D6475" s="348"/>
    </row>
    <row r="6476" spans="4:4" x14ac:dyDescent="0.3">
      <c r="D6476" s="348"/>
    </row>
    <row r="6477" spans="4:4" x14ac:dyDescent="0.3">
      <c r="D6477" s="348"/>
    </row>
    <row r="6478" spans="4:4" x14ac:dyDescent="0.3">
      <c r="D6478" s="348"/>
    </row>
    <row r="6479" spans="4:4" x14ac:dyDescent="0.3">
      <c r="D6479" s="348"/>
    </row>
    <row r="6480" spans="4:4" x14ac:dyDescent="0.3">
      <c r="D6480" s="348"/>
    </row>
    <row r="6481" spans="4:4" x14ac:dyDescent="0.3">
      <c r="D6481" s="348"/>
    </row>
    <row r="6482" spans="4:4" x14ac:dyDescent="0.3">
      <c r="D6482" s="348"/>
    </row>
    <row r="6483" spans="4:4" x14ac:dyDescent="0.3">
      <c r="D6483" s="348"/>
    </row>
    <row r="6484" spans="4:4" x14ac:dyDescent="0.3">
      <c r="D6484" s="348"/>
    </row>
    <row r="6485" spans="4:4" x14ac:dyDescent="0.3">
      <c r="D6485" s="348"/>
    </row>
    <row r="6486" spans="4:4" x14ac:dyDescent="0.3">
      <c r="D6486" s="348"/>
    </row>
    <row r="6487" spans="4:4" x14ac:dyDescent="0.3">
      <c r="D6487" s="348"/>
    </row>
    <row r="6488" spans="4:4" x14ac:dyDescent="0.3">
      <c r="D6488" s="348"/>
    </row>
    <row r="6489" spans="4:4" x14ac:dyDescent="0.3">
      <c r="D6489" s="348"/>
    </row>
    <row r="6490" spans="4:4" x14ac:dyDescent="0.3">
      <c r="D6490" s="348"/>
    </row>
    <row r="6491" spans="4:4" x14ac:dyDescent="0.3">
      <c r="D6491" s="348"/>
    </row>
    <row r="6492" spans="4:4" x14ac:dyDescent="0.3">
      <c r="D6492" s="348"/>
    </row>
    <row r="6493" spans="4:4" x14ac:dyDescent="0.3">
      <c r="D6493" s="348"/>
    </row>
    <row r="6494" spans="4:4" x14ac:dyDescent="0.3">
      <c r="D6494" s="348"/>
    </row>
    <row r="6495" spans="4:4" x14ac:dyDescent="0.3">
      <c r="D6495" s="348"/>
    </row>
    <row r="6496" spans="4:4" x14ac:dyDescent="0.3">
      <c r="D6496" s="348"/>
    </row>
    <row r="6497" spans="4:4" x14ac:dyDescent="0.3">
      <c r="D6497" s="348"/>
    </row>
    <row r="6498" spans="4:4" x14ac:dyDescent="0.3">
      <c r="D6498" s="348"/>
    </row>
    <row r="6499" spans="4:4" x14ac:dyDescent="0.3">
      <c r="D6499" s="348"/>
    </row>
    <row r="6500" spans="4:4" x14ac:dyDescent="0.3">
      <c r="D6500" s="348"/>
    </row>
    <row r="6501" spans="4:4" x14ac:dyDescent="0.3">
      <c r="D6501" s="348"/>
    </row>
    <row r="6502" spans="4:4" x14ac:dyDescent="0.3">
      <c r="D6502" s="348"/>
    </row>
    <row r="6503" spans="4:4" x14ac:dyDescent="0.3">
      <c r="D6503" s="348"/>
    </row>
    <row r="6504" spans="4:4" x14ac:dyDescent="0.3">
      <c r="D6504" s="348"/>
    </row>
    <row r="6505" spans="4:4" x14ac:dyDescent="0.3">
      <c r="D6505" s="348"/>
    </row>
    <row r="6506" spans="4:4" x14ac:dyDescent="0.3">
      <c r="D6506" s="348"/>
    </row>
    <row r="6507" spans="4:4" x14ac:dyDescent="0.3">
      <c r="D6507" s="348"/>
    </row>
    <row r="6508" spans="4:4" x14ac:dyDescent="0.3">
      <c r="D6508" s="348"/>
    </row>
    <row r="6509" spans="4:4" x14ac:dyDescent="0.3">
      <c r="D6509" s="348"/>
    </row>
    <row r="6510" spans="4:4" x14ac:dyDescent="0.3">
      <c r="D6510" s="348"/>
    </row>
    <row r="6511" spans="4:4" x14ac:dyDescent="0.3">
      <c r="D6511" s="348"/>
    </row>
    <row r="6512" spans="4:4" x14ac:dyDescent="0.3">
      <c r="D6512" s="348"/>
    </row>
    <row r="6513" spans="4:4" x14ac:dyDescent="0.3">
      <c r="D6513" s="348"/>
    </row>
    <row r="6514" spans="4:4" x14ac:dyDescent="0.3">
      <c r="D6514" s="348"/>
    </row>
    <row r="6515" spans="4:4" x14ac:dyDescent="0.3">
      <c r="D6515" s="348"/>
    </row>
    <row r="6516" spans="4:4" x14ac:dyDescent="0.3">
      <c r="D6516" s="348"/>
    </row>
    <row r="6517" spans="4:4" x14ac:dyDescent="0.3">
      <c r="D6517" s="348"/>
    </row>
    <row r="6518" spans="4:4" x14ac:dyDescent="0.3">
      <c r="D6518" s="348"/>
    </row>
    <row r="6519" spans="4:4" x14ac:dyDescent="0.3">
      <c r="D6519" s="348"/>
    </row>
    <row r="6520" spans="4:4" x14ac:dyDescent="0.3">
      <c r="D6520" s="348"/>
    </row>
    <row r="6521" spans="4:4" x14ac:dyDescent="0.3">
      <c r="D6521" s="348"/>
    </row>
    <row r="6522" spans="4:4" x14ac:dyDescent="0.3">
      <c r="D6522" s="348"/>
    </row>
    <row r="6523" spans="4:4" x14ac:dyDescent="0.3">
      <c r="D6523" s="348"/>
    </row>
    <row r="6524" spans="4:4" x14ac:dyDescent="0.3">
      <c r="D6524" s="348"/>
    </row>
    <row r="6525" spans="4:4" x14ac:dyDescent="0.3">
      <c r="D6525" s="348"/>
    </row>
    <row r="6526" spans="4:4" x14ac:dyDescent="0.3">
      <c r="D6526" s="348"/>
    </row>
    <row r="6527" spans="4:4" x14ac:dyDescent="0.3">
      <c r="D6527" s="348"/>
    </row>
    <row r="6528" spans="4:4" x14ac:dyDescent="0.3">
      <c r="D6528" s="348"/>
    </row>
    <row r="6529" spans="4:4" x14ac:dyDescent="0.3">
      <c r="D6529" s="348"/>
    </row>
    <row r="6530" spans="4:4" x14ac:dyDescent="0.3">
      <c r="D6530" s="348"/>
    </row>
    <row r="6531" spans="4:4" x14ac:dyDescent="0.3">
      <c r="D6531" s="348"/>
    </row>
    <row r="6532" spans="4:4" x14ac:dyDescent="0.3">
      <c r="D6532" s="348"/>
    </row>
    <row r="6533" spans="4:4" x14ac:dyDescent="0.3">
      <c r="D6533" s="348"/>
    </row>
    <row r="6534" spans="4:4" x14ac:dyDescent="0.3">
      <c r="D6534" s="348"/>
    </row>
    <row r="6535" spans="4:4" x14ac:dyDescent="0.3">
      <c r="D6535" s="348"/>
    </row>
    <row r="6536" spans="4:4" x14ac:dyDescent="0.3">
      <c r="D6536" s="348"/>
    </row>
    <row r="6537" spans="4:4" x14ac:dyDescent="0.3">
      <c r="D6537" s="348"/>
    </row>
    <row r="6538" spans="4:4" x14ac:dyDescent="0.3">
      <c r="D6538" s="348"/>
    </row>
    <row r="6539" spans="4:4" x14ac:dyDescent="0.3">
      <c r="D6539" s="348"/>
    </row>
    <row r="6540" spans="4:4" x14ac:dyDescent="0.3">
      <c r="D6540" s="348"/>
    </row>
    <row r="6541" spans="4:4" x14ac:dyDescent="0.3">
      <c r="D6541" s="348"/>
    </row>
    <row r="6542" spans="4:4" x14ac:dyDescent="0.3">
      <c r="D6542" s="348"/>
    </row>
    <row r="6543" spans="4:4" x14ac:dyDescent="0.3">
      <c r="D6543" s="348"/>
    </row>
    <row r="6544" spans="4:4" x14ac:dyDescent="0.3">
      <c r="D6544" s="348"/>
    </row>
    <row r="6545" spans="4:4" x14ac:dyDescent="0.3">
      <c r="D6545" s="348"/>
    </row>
    <row r="6546" spans="4:4" x14ac:dyDescent="0.3">
      <c r="D6546" s="348"/>
    </row>
    <row r="6547" spans="4:4" x14ac:dyDescent="0.3">
      <c r="D6547" s="348"/>
    </row>
    <row r="6548" spans="4:4" x14ac:dyDescent="0.3">
      <c r="D6548" s="348"/>
    </row>
    <row r="6549" spans="4:4" x14ac:dyDescent="0.3">
      <c r="D6549" s="348"/>
    </row>
    <row r="6550" spans="4:4" x14ac:dyDescent="0.3">
      <c r="D6550" s="348"/>
    </row>
    <row r="6551" spans="4:4" x14ac:dyDescent="0.3">
      <c r="D6551" s="348"/>
    </row>
    <row r="6552" spans="4:4" x14ac:dyDescent="0.3">
      <c r="D6552" s="348"/>
    </row>
  </sheetData>
  <mergeCells count="57">
    <mergeCell ref="C84:H84"/>
    <mergeCell ref="C71:F71"/>
    <mergeCell ref="C73:F73"/>
    <mergeCell ref="C78:H78"/>
    <mergeCell ref="C51:E65"/>
    <mergeCell ref="C66:E67"/>
    <mergeCell ref="C68:F68"/>
    <mergeCell ref="C81:H81"/>
    <mergeCell ref="C82:H82"/>
    <mergeCell ref="C70:F70"/>
    <mergeCell ref="BO8:BO11"/>
    <mergeCell ref="C72:F72"/>
    <mergeCell ref="C83:H83"/>
    <mergeCell ref="CP34:CR34"/>
    <mergeCell ref="C35:F35"/>
    <mergeCell ref="C36:E50"/>
    <mergeCell ref="C86:F86"/>
    <mergeCell ref="X9:X11"/>
    <mergeCell ref="D29:F29"/>
    <mergeCell ref="D30:F30"/>
    <mergeCell ref="D31:F31"/>
    <mergeCell ref="C79:H79"/>
    <mergeCell ref="C80:H80"/>
    <mergeCell ref="C20:C28"/>
    <mergeCell ref="D20:E26"/>
    <mergeCell ref="D27:F27"/>
    <mergeCell ref="D28:F28"/>
    <mergeCell ref="C69:F69"/>
    <mergeCell ref="C34:F34"/>
    <mergeCell ref="C13:C19"/>
    <mergeCell ref="D13:F13"/>
    <mergeCell ref="D14:F14"/>
    <mergeCell ref="D15:F15"/>
    <mergeCell ref="D16:F16"/>
    <mergeCell ref="D17:F17"/>
    <mergeCell ref="D18:F18"/>
    <mergeCell ref="D19:F19"/>
    <mergeCell ref="BM8:BM11"/>
    <mergeCell ref="BN8:BN11"/>
    <mergeCell ref="BP8:BP11"/>
    <mergeCell ref="O9:U10"/>
    <mergeCell ref="V9:V11"/>
    <mergeCell ref="W9:W11"/>
    <mergeCell ref="Y9:Y11"/>
    <mergeCell ref="Z9:Z11"/>
    <mergeCell ref="AT8:BH10"/>
    <mergeCell ref="BI8:BJ10"/>
    <mergeCell ref="C1:F1"/>
    <mergeCell ref="H4:K4"/>
    <mergeCell ref="H5:K5"/>
    <mergeCell ref="H8:N10"/>
    <mergeCell ref="BK8:BK11"/>
    <mergeCell ref="BL8:BL11"/>
    <mergeCell ref="O8:W8"/>
    <mergeCell ref="AC8:AC11"/>
    <mergeCell ref="AD8:AD11"/>
    <mergeCell ref="AE8:AS10"/>
  </mergeCells>
  <phoneticPr fontId="0" type="noConversion"/>
  <pageMargins left="0.75" right="0.75" top="1" bottom="1" header="0" footer="0"/>
  <pageSetup orientation="portrait" horizontalDpi="200" verticalDpi="200" copies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B588-A375-464D-9A6B-BB98A0B0FF26}">
  <dimension ref="A1:T27"/>
  <sheetViews>
    <sheetView topLeftCell="A4" workbookViewId="0">
      <selection activeCell="D21" sqref="D21"/>
    </sheetView>
  </sheetViews>
  <sheetFormatPr defaultColWidth="11" defaultRowHeight="13" x14ac:dyDescent="0.3"/>
  <sheetData>
    <row r="1" spans="1:20" x14ac:dyDescent="0.3">
      <c r="A1" s="71" t="s">
        <v>97</v>
      </c>
      <c r="B1" s="72"/>
      <c r="C1" s="73"/>
      <c r="D1" s="72"/>
      <c r="E1" s="72"/>
      <c r="F1" s="74"/>
    </row>
    <row r="2" spans="1:20" x14ac:dyDescent="0.3">
      <c r="A2" s="75"/>
      <c r="B2" s="72"/>
      <c r="C2" s="73"/>
      <c r="D2" s="72"/>
      <c r="E2" s="72"/>
      <c r="F2" s="74"/>
    </row>
    <row r="3" spans="1:20" x14ac:dyDescent="0.3">
      <c r="A3" s="76"/>
      <c r="B3" s="77" t="s">
        <v>577</v>
      </c>
      <c r="C3" s="77" t="s">
        <v>577</v>
      </c>
      <c r="D3" s="78" t="s">
        <v>98</v>
      </c>
      <c r="E3" s="79"/>
      <c r="F3" s="80" t="s">
        <v>99</v>
      </c>
    </row>
    <row r="4" spans="1:20" x14ac:dyDescent="0.3">
      <c r="A4" s="81" t="s">
        <v>100</v>
      </c>
      <c r="B4" s="82" t="s">
        <v>101</v>
      </c>
      <c r="C4" s="82" t="s">
        <v>102</v>
      </c>
      <c r="D4" s="77" t="s">
        <v>103</v>
      </c>
      <c r="E4" s="77" t="s">
        <v>103</v>
      </c>
      <c r="F4" s="82" t="s">
        <v>104</v>
      </c>
    </row>
    <row r="5" spans="1:20" x14ac:dyDescent="0.3">
      <c r="A5" s="83"/>
      <c r="B5" s="84" t="s">
        <v>105</v>
      </c>
      <c r="C5" s="82" t="s">
        <v>105</v>
      </c>
      <c r="D5" s="82" t="s">
        <v>106</v>
      </c>
      <c r="E5" s="82" t="s">
        <v>107</v>
      </c>
      <c r="F5" s="85" t="s">
        <v>105</v>
      </c>
    </row>
    <row r="6" spans="1:20" x14ac:dyDescent="0.3">
      <c r="A6" s="83"/>
      <c r="B6" s="84"/>
      <c r="C6" s="85"/>
      <c r="D6" s="82" t="s">
        <v>108</v>
      </c>
      <c r="E6" s="82" t="s">
        <v>109</v>
      </c>
      <c r="F6" s="86"/>
    </row>
    <row r="7" spans="1:20" x14ac:dyDescent="0.3">
      <c r="A7" s="83"/>
      <c r="B7" s="87"/>
      <c r="C7" s="88"/>
      <c r="D7" s="89"/>
      <c r="E7" s="89"/>
      <c r="F7" s="90"/>
    </row>
    <row r="8" spans="1:20" x14ac:dyDescent="0.3">
      <c r="A8" s="91">
        <v>1991</v>
      </c>
      <c r="B8" s="57">
        <v>3193.4</v>
      </c>
      <c r="C8" s="92">
        <v>2957.8</v>
      </c>
      <c r="D8" s="93">
        <f>B8/$F8*100</f>
        <v>11.966748195139449</v>
      </c>
      <c r="E8" s="93">
        <f t="shared" ref="E8:E21" si="0">C8/$F8*100</f>
        <v>11.083875434202875</v>
      </c>
      <c r="F8" s="94">
        <v>26685.612063744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</row>
    <row r="9" spans="1:20" x14ac:dyDescent="0.3">
      <c r="A9" s="91">
        <v>1992</v>
      </c>
      <c r="B9" s="57">
        <v>6059</v>
      </c>
      <c r="C9" s="92">
        <v>5416</v>
      </c>
      <c r="D9" s="93">
        <f t="shared" ref="D9:D21" si="1">B9/$F9*100</f>
        <v>13.478384785593061</v>
      </c>
      <c r="E9" s="93">
        <f t="shared" si="0"/>
        <v>12.048016504170988</v>
      </c>
      <c r="F9" s="94">
        <v>44953.457675999998</v>
      </c>
    </row>
    <row r="10" spans="1:20" x14ac:dyDescent="0.3">
      <c r="A10" s="91">
        <v>1993</v>
      </c>
      <c r="B10" s="57">
        <v>9423.5</v>
      </c>
      <c r="C10" s="92">
        <v>8477.5</v>
      </c>
      <c r="D10" s="93">
        <f t="shared" si="1"/>
        <v>13.605630199636042</v>
      </c>
      <c r="E10" s="93">
        <f t="shared" si="0"/>
        <v>12.239797317070574</v>
      </c>
      <c r="F10" s="94">
        <v>69261.767825000003</v>
      </c>
    </row>
    <row r="11" spans="1:20" x14ac:dyDescent="0.3">
      <c r="A11" s="301">
        <v>1994</v>
      </c>
      <c r="B11" s="302">
        <v>14484.19368965825</v>
      </c>
      <c r="C11" s="303">
        <v>12978.744199658249</v>
      </c>
      <c r="D11" s="304">
        <f t="shared" si="1"/>
        <v>14.693212870946674</v>
      </c>
      <c r="E11" s="304">
        <f t="shared" si="0"/>
        <v>13.166038469873746</v>
      </c>
      <c r="F11" s="305">
        <v>98577.444000000003</v>
      </c>
    </row>
    <row r="12" spans="1:20" x14ac:dyDescent="0.3">
      <c r="A12" s="91">
        <v>1995</v>
      </c>
      <c r="B12" s="57">
        <v>18455.822076245113</v>
      </c>
      <c r="C12" s="92">
        <v>16457.679556635114</v>
      </c>
      <c r="D12" s="93">
        <f t="shared" si="1"/>
        <v>17.242171327348341</v>
      </c>
      <c r="E12" s="93">
        <f t="shared" si="0"/>
        <v>15.375426214763008</v>
      </c>
      <c r="F12" s="94">
        <v>107038.851</v>
      </c>
    </row>
    <row r="13" spans="1:20" x14ac:dyDescent="0.3">
      <c r="A13" s="91">
        <v>1996</v>
      </c>
      <c r="B13" s="57">
        <v>21682.239924373203</v>
      </c>
      <c r="C13" s="92">
        <v>19255.842723714286</v>
      </c>
      <c r="D13" s="93">
        <f t="shared" si="1"/>
        <v>19.763500480248297</v>
      </c>
      <c r="E13" s="93">
        <f t="shared" si="0"/>
        <v>17.551823900348911</v>
      </c>
      <c r="F13" s="94">
        <v>109708.5</v>
      </c>
    </row>
    <row r="14" spans="1:20" x14ac:dyDescent="0.3">
      <c r="A14" s="95" t="s">
        <v>110</v>
      </c>
      <c r="B14" s="57">
        <v>25132.339266321771</v>
      </c>
      <c r="C14" s="92">
        <v>22304.33286932177</v>
      </c>
      <c r="D14" s="93">
        <f t="shared" si="1"/>
        <v>21.441420624514983</v>
      </c>
      <c r="E14" s="93">
        <f t="shared" si="0"/>
        <v>19.028733367497441</v>
      </c>
      <c r="F14" s="94">
        <v>117213.965</v>
      </c>
    </row>
    <row r="15" spans="1:20" x14ac:dyDescent="0.3">
      <c r="A15" s="91">
        <v>1998</v>
      </c>
      <c r="B15" s="57">
        <v>26193.613005265499</v>
      </c>
      <c r="C15" s="92">
        <v>23143.813679985498</v>
      </c>
      <c r="D15" s="93">
        <f t="shared" si="1"/>
        <v>22.492942132118973</v>
      </c>
      <c r="E15" s="93">
        <f t="shared" si="0"/>
        <v>19.874022790052319</v>
      </c>
      <c r="F15" s="94">
        <v>116452.58699999998</v>
      </c>
    </row>
    <row r="16" spans="1:20" x14ac:dyDescent="0.3">
      <c r="A16" s="91">
        <v>1999</v>
      </c>
      <c r="B16" s="57">
        <v>25481.972232814907</v>
      </c>
      <c r="C16" s="92">
        <v>22071.825715136907</v>
      </c>
      <c r="D16" s="93">
        <f t="shared" si="1"/>
        <v>21.685414360803808</v>
      </c>
      <c r="E16" s="93">
        <f t="shared" si="0"/>
        <v>18.783345416090476</v>
      </c>
      <c r="F16" s="94">
        <v>117507.42599999999</v>
      </c>
    </row>
    <row r="17" spans="1:8" x14ac:dyDescent="0.3">
      <c r="A17" s="91">
        <v>2000</v>
      </c>
      <c r="B17" s="57">
        <v>27704.860833920258</v>
      </c>
      <c r="C17" s="92">
        <v>22769.423566369929</v>
      </c>
      <c r="D17" s="93">
        <f t="shared" si="1"/>
        <v>22.929696315623538</v>
      </c>
      <c r="E17" s="93">
        <f t="shared" si="0"/>
        <v>18.844922946497519</v>
      </c>
      <c r="F17" s="94">
        <v>120825.24099999999</v>
      </c>
      <c r="G17" s="94"/>
      <c r="H17" s="94"/>
    </row>
    <row r="18" spans="1:8" x14ac:dyDescent="0.3">
      <c r="A18" s="91" t="s">
        <v>613</v>
      </c>
      <c r="B18" s="57">
        <v>27059.028083815781</v>
      </c>
      <c r="C18" s="92">
        <v>23540.712714005771</v>
      </c>
      <c r="D18" s="93">
        <f t="shared" si="1"/>
        <v>22.338497641635954</v>
      </c>
      <c r="E18" s="93">
        <f t="shared" si="0"/>
        <v>19.433963179142083</v>
      </c>
      <c r="F18" s="94">
        <v>121131.81700000001</v>
      </c>
    </row>
    <row r="19" spans="1:8" x14ac:dyDescent="0.3">
      <c r="A19" s="91" t="s">
        <v>615</v>
      </c>
      <c r="B19" s="57">
        <v>28559.256810910862</v>
      </c>
      <c r="C19" s="92">
        <v>24061.617835462865</v>
      </c>
      <c r="D19" s="93">
        <f t="shared" si="1"/>
        <v>22.49114570082758</v>
      </c>
      <c r="E19" s="93">
        <f t="shared" si="0"/>
        <v>18.949139892473511</v>
      </c>
      <c r="F19" s="94">
        <v>126980</v>
      </c>
    </row>
    <row r="20" spans="1:8" x14ac:dyDescent="0.3">
      <c r="A20" s="596" t="s">
        <v>619</v>
      </c>
      <c r="B20" s="57">
        <v>31551.12892523644</v>
      </c>
      <c r="C20" s="92">
        <v>27404.700331130149</v>
      </c>
      <c r="D20" s="93">
        <f t="shared" si="1"/>
        <v>23.946453642111191</v>
      </c>
      <c r="E20" s="93">
        <f t="shared" si="0"/>
        <v>20.799426467762736</v>
      </c>
      <c r="F20" s="94">
        <v>131757</v>
      </c>
    </row>
    <row r="21" spans="1:8" x14ac:dyDescent="0.3">
      <c r="A21" s="734">
        <v>2004</v>
      </c>
      <c r="B21" s="57">
        <v>35401.351547468097</v>
      </c>
      <c r="C21" s="60">
        <v>31141.777071422563</v>
      </c>
      <c r="D21" s="93">
        <f t="shared" si="1"/>
        <v>25.573467851959908</v>
      </c>
      <c r="E21" s="93">
        <f t="shared" si="0"/>
        <v>22.496407622208022</v>
      </c>
      <c r="F21" s="94">
        <v>138430</v>
      </c>
    </row>
    <row r="22" spans="1:8" x14ac:dyDescent="0.3">
      <c r="A22" s="96"/>
      <c r="B22" s="97"/>
      <c r="C22" s="97"/>
      <c r="D22" s="98"/>
      <c r="E22" s="98"/>
      <c r="F22" s="99"/>
    </row>
    <row r="23" spans="1:8" x14ac:dyDescent="0.3">
      <c r="A23" s="100" t="s">
        <v>111</v>
      </c>
      <c r="B23" s="101"/>
      <c r="C23" s="102"/>
      <c r="D23" s="102"/>
      <c r="E23" s="102"/>
      <c r="F23" s="102"/>
    </row>
    <row r="24" spans="1:8" x14ac:dyDescent="0.3">
      <c r="A24" s="100" t="s">
        <v>112</v>
      </c>
      <c r="B24" s="101"/>
      <c r="C24" s="102"/>
      <c r="D24" s="102"/>
      <c r="E24" s="102"/>
      <c r="F24" s="102"/>
    </row>
    <row r="25" spans="1:8" x14ac:dyDescent="0.3">
      <c r="A25" s="103" t="s">
        <v>113</v>
      </c>
      <c r="B25" s="101"/>
      <c r="C25" s="104"/>
      <c r="D25" s="104"/>
      <c r="E25" s="104"/>
      <c r="F25" s="104"/>
    </row>
    <row r="26" spans="1:8" x14ac:dyDescent="0.3">
      <c r="A26" s="38" t="s">
        <v>114</v>
      </c>
      <c r="B26" s="104"/>
      <c r="C26" s="104"/>
      <c r="D26" s="104"/>
      <c r="E26" s="104"/>
      <c r="F26" s="104"/>
    </row>
    <row r="27" spans="1:8" x14ac:dyDescent="0.3">
      <c r="A27" s="105" t="s">
        <v>115</v>
      </c>
      <c r="B27" s="106"/>
      <c r="C27" s="106"/>
      <c r="D27" s="106"/>
      <c r="E27" s="106"/>
      <c r="F27" s="106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7FF5-2F63-4861-8A47-38664854E3E2}">
  <dimension ref="A1:CS41"/>
  <sheetViews>
    <sheetView workbookViewId="0"/>
  </sheetViews>
  <sheetFormatPr defaultColWidth="12" defaultRowHeight="13" x14ac:dyDescent="0.3"/>
  <cols>
    <col min="1" max="1" width="12.109375" style="210" bestFit="1" customWidth="1"/>
    <col min="2" max="2" width="12.33203125" style="210" bestFit="1" customWidth="1"/>
    <col min="3" max="3" width="12.109375" style="210" bestFit="1" customWidth="1"/>
    <col min="4" max="4" width="14.6640625" style="210" customWidth="1"/>
    <col min="5" max="8" width="13.88671875" style="210" customWidth="1"/>
    <col min="9" max="9" width="16.109375" style="210" customWidth="1"/>
    <col min="10" max="10" width="14.44140625" style="210" customWidth="1"/>
    <col min="11" max="14" width="15.6640625" style="210" customWidth="1"/>
    <col min="15" max="15" width="12.88671875" style="210" customWidth="1"/>
    <col min="16" max="16" width="13.109375" style="210" customWidth="1"/>
    <col min="17" max="17" width="13.109375" style="210" bestFit="1" customWidth="1"/>
    <col min="18" max="18" width="13.44140625" style="210" customWidth="1"/>
    <col min="19" max="20" width="13.33203125" style="210" customWidth="1"/>
    <col min="21" max="22" width="12.88671875" style="210" customWidth="1"/>
    <col min="23" max="23" width="12.6640625" style="210" customWidth="1"/>
    <col min="24" max="24" width="12.109375" style="210" bestFit="1" customWidth="1"/>
    <col min="25" max="25" width="13.33203125" style="210" customWidth="1"/>
    <col min="26" max="32" width="12.109375" style="210" bestFit="1" customWidth="1"/>
    <col min="33" max="33" width="13.109375" style="210" bestFit="1" customWidth="1"/>
    <col min="34" max="61" width="12.109375" style="210" bestFit="1" customWidth="1"/>
    <col min="62" max="63" width="13.109375" style="210" bestFit="1" customWidth="1"/>
    <col min="64" max="65" width="12.109375" style="210" bestFit="1" customWidth="1"/>
    <col min="66" max="66" width="12.88671875" style="210" bestFit="1" customWidth="1"/>
    <col min="67" max="67" width="12.109375" style="210" bestFit="1" customWidth="1"/>
    <col min="68" max="68" width="13.109375" style="210" customWidth="1"/>
    <col min="69" max="71" width="12.109375" style="210" bestFit="1" customWidth="1"/>
    <col min="72" max="72" width="14.44140625" style="210" customWidth="1"/>
    <col min="73" max="74" width="12.109375" style="210" bestFit="1" customWidth="1"/>
    <col min="75" max="75" width="13" style="210" customWidth="1"/>
    <col min="76" max="77" width="12.109375" style="210" bestFit="1" customWidth="1"/>
    <col min="78" max="78" width="12.88671875" style="210" customWidth="1"/>
    <col min="79" max="79" width="13.109375" style="210" bestFit="1" customWidth="1"/>
    <col min="80" max="80" width="13.33203125" style="210" customWidth="1"/>
    <col min="81" max="81" width="13.109375" style="210" customWidth="1"/>
    <col min="82" max="82" width="12.109375" style="210" bestFit="1" customWidth="1"/>
    <col min="83" max="83" width="15" style="210" customWidth="1"/>
    <col min="84" max="84" width="13.109375" style="210" bestFit="1" customWidth="1"/>
    <col min="85" max="85" width="13.33203125" style="210" bestFit="1" customWidth="1"/>
    <col min="86" max="86" width="13.109375" style="210" bestFit="1" customWidth="1"/>
    <col min="87" max="87" width="13.6640625" style="210" customWidth="1"/>
    <col min="88" max="89" width="13.6640625" style="210" bestFit="1" customWidth="1"/>
    <col min="90" max="91" width="12.109375" style="210" bestFit="1" customWidth="1"/>
    <col min="92" max="92" width="13.109375" style="210" bestFit="1" customWidth="1"/>
    <col min="93" max="96" width="12.109375" style="210" bestFit="1" customWidth="1"/>
    <col min="97" max="97" width="13.109375" style="210" bestFit="1" customWidth="1"/>
    <col min="98" max="16384" width="12" style="210"/>
  </cols>
  <sheetData>
    <row r="1" spans="1:97" x14ac:dyDescent="0.3">
      <c r="A1" s="210" t="s">
        <v>651</v>
      </c>
      <c r="B1" s="210" t="s">
        <v>783</v>
      </c>
      <c r="C1" s="210" t="s">
        <v>784</v>
      </c>
      <c r="D1" s="210" t="s">
        <v>785</v>
      </c>
      <c r="E1" s="210" t="s">
        <v>786</v>
      </c>
      <c r="F1" s="210" t="s">
        <v>787</v>
      </c>
      <c r="G1" s="210" t="s">
        <v>788</v>
      </c>
      <c r="H1" s="210" t="s">
        <v>789</v>
      </c>
      <c r="I1" s="210" t="s">
        <v>790</v>
      </c>
      <c r="J1" s="210" t="s">
        <v>791</v>
      </c>
      <c r="K1" s="210" t="s">
        <v>792</v>
      </c>
      <c r="L1" s="210" t="s">
        <v>793</v>
      </c>
      <c r="M1" s="210" t="s">
        <v>794</v>
      </c>
      <c r="N1" s="210" t="s">
        <v>795</v>
      </c>
      <c r="O1" s="210" t="s">
        <v>796</v>
      </c>
      <c r="P1" s="210" t="s">
        <v>797</v>
      </c>
      <c r="Q1" s="210" t="s">
        <v>798</v>
      </c>
      <c r="R1" s="210" t="s">
        <v>799</v>
      </c>
      <c r="S1" s="210" t="s">
        <v>800</v>
      </c>
      <c r="T1" s="210" t="s">
        <v>801</v>
      </c>
      <c r="U1" s="210" t="s">
        <v>802</v>
      </c>
      <c r="V1" s="210" t="s">
        <v>803</v>
      </c>
      <c r="W1" s="210" t="s">
        <v>804</v>
      </c>
      <c r="X1" s="210" t="s">
        <v>805</v>
      </c>
      <c r="Y1" s="210" t="s">
        <v>806</v>
      </c>
      <c r="Z1" s="210" t="s">
        <v>807</v>
      </c>
      <c r="AA1" s="210" t="s">
        <v>808</v>
      </c>
      <c r="AB1" s="210" t="s">
        <v>809</v>
      </c>
      <c r="AC1" s="210" t="s">
        <v>810</v>
      </c>
      <c r="AD1" s="210" t="s">
        <v>811</v>
      </c>
      <c r="AE1" s="210" t="s">
        <v>812</v>
      </c>
      <c r="AF1" s="210" t="s">
        <v>813</v>
      </c>
      <c r="AG1" s="210" t="s">
        <v>814</v>
      </c>
      <c r="AH1" s="210" t="s">
        <v>815</v>
      </c>
      <c r="AI1" s="210" t="s">
        <v>816</v>
      </c>
      <c r="AJ1" s="210" t="s">
        <v>817</v>
      </c>
      <c r="AK1" s="210" t="s">
        <v>818</v>
      </c>
      <c r="AL1" s="210" t="s">
        <v>819</v>
      </c>
      <c r="AM1" s="210" t="s">
        <v>820</v>
      </c>
      <c r="AN1" s="210" t="s">
        <v>821</v>
      </c>
      <c r="AO1" s="210" t="s">
        <v>822</v>
      </c>
      <c r="AP1" s="210" t="s">
        <v>823</v>
      </c>
      <c r="AQ1" s="210" t="s">
        <v>824</v>
      </c>
      <c r="AR1" s="210" t="s">
        <v>825</v>
      </c>
      <c r="AS1" s="210" t="s">
        <v>826</v>
      </c>
      <c r="AT1" s="210" t="s">
        <v>827</v>
      </c>
      <c r="AU1" s="210" t="s">
        <v>828</v>
      </c>
      <c r="AV1" s="210" t="s">
        <v>829</v>
      </c>
      <c r="AW1" s="210" t="s">
        <v>830</v>
      </c>
      <c r="AX1" s="210" t="s">
        <v>831</v>
      </c>
      <c r="AY1" s="210" t="s">
        <v>832</v>
      </c>
      <c r="AZ1" s="210" t="s">
        <v>833</v>
      </c>
      <c r="BA1" s="210" t="s">
        <v>834</v>
      </c>
      <c r="BB1" s="210" t="s">
        <v>835</v>
      </c>
      <c r="BC1" s="210" t="s">
        <v>836</v>
      </c>
      <c r="BD1" s="210" t="s">
        <v>837</v>
      </c>
      <c r="BE1" s="210" t="s">
        <v>838</v>
      </c>
      <c r="BF1" s="210" t="s">
        <v>839</v>
      </c>
      <c r="BG1" s="210" t="s">
        <v>840</v>
      </c>
      <c r="BH1" s="210" t="s">
        <v>841</v>
      </c>
      <c r="BI1" s="210" t="s">
        <v>842</v>
      </c>
      <c r="BJ1" s="210" t="s">
        <v>843</v>
      </c>
      <c r="BK1" s="210" t="s">
        <v>844</v>
      </c>
      <c r="BL1" s="210" t="s">
        <v>845</v>
      </c>
      <c r="BM1" s="210" t="s">
        <v>846</v>
      </c>
      <c r="BN1" s="210" t="s">
        <v>847</v>
      </c>
      <c r="BO1" s="210" t="s">
        <v>848</v>
      </c>
      <c r="BP1" s="210" t="s">
        <v>849</v>
      </c>
      <c r="BQ1" s="210" t="s">
        <v>850</v>
      </c>
      <c r="BR1" s="210" t="s">
        <v>851</v>
      </c>
      <c r="BS1" s="210" t="s">
        <v>852</v>
      </c>
      <c r="BT1" s="210" t="s">
        <v>853</v>
      </c>
      <c r="BU1" s="210" t="s">
        <v>854</v>
      </c>
      <c r="BV1" s="210" t="s">
        <v>855</v>
      </c>
      <c r="BW1" s="210" t="s">
        <v>856</v>
      </c>
      <c r="BX1" s="210" t="s">
        <v>857</v>
      </c>
      <c r="BY1" s="210" t="s">
        <v>858</v>
      </c>
      <c r="BZ1" s="210" t="s">
        <v>859</v>
      </c>
      <c r="CA1" s="210" t="s">
        <v>860</v>
      </c>
      <c r="CB1" s="210" t="s">
        <v>861</v>
      </c>
      <c r="CC1" s="210" t="s">
        <v>845</v>
      </c>
      <c r="CD1" s="210" t="s">
        <v>846</v>
      </c>
      <c r="CE1" s="210" t="s">
        <v>847</v>
      </c>
      <c r="CF1" s="210" t="s">
        <v>848</v>
      </c>
      <c r="CG1" s="639" t="s">
        <v>849</v>
      </c>
      <c r="CH1" s="210" t="s">
        <v>850</v>
      </c>
      <c r="CI1" s="210" t="s">
        <v>851</v>
      </c>
      <c r="CJ1" s="210" t="s">
        <v>852</v>
      </c>
      <c r="CK1" s="210" t="s">
        <v>853</v>
      </c>
      <c r="CL1" s="210" t="s">
        <v>854</v>
      </c>
      <c r="CM1" s="210" t="s">
        <v>855</v>
      </c>
      <c r="CN1" s="210" t="s">
        <v>856</v>
      </c>
      <c r="CO1" s="210" t="s">
        <v>857</v>
      </c>
      <c r="CP1" s="210" t="s">
        <v>858</v>
      </c>
      <c r="CQ1" s="210" t="s">
        <v>859</v>
      </c>
      <c r="CR1" s="210" t="s">
        <v>860</v>
      </c>
      <c r="CS1" s="210" t="s">
        <v>861</v>
      </c>
    </row>
    <row r="2" spans="1:97" x14ac:dyDescent="0.3">
      <c r="A2" s="210">
        <v>1</v>
      </c>
      <c r="B2" s="640">
        <v>26743599104</v>
      </c>
      <c r="C2" s="640">
        <v>0</v>
      </c>
      <c r="D2" s="640">
        <v>0</v>
      </c>
      <c r="E2" s="640">
        <v>15683852</v>
      </c>
      <c r="F2" s="640">
        <v>869589</v>
      </c>
      <c r="G2" s="640">
        <v>0</v>
      </c>
      <c r="H2" s="640">
        <v>0</v>
      </c>
      <c r="I2" s="640">
        <v>0</v>
      </c>
      <c r="J2" s="640">
        <v>0</v>
      </c>
      <c r="K2" s="640">
        <v>0</v>
      </c>
      <c r="L2" s="640">
        <v>0</v>
      </c>
      <c r="M2" s="640">
        <v>0</v>
      </c>
      <c r="N2" s="640">
        <v>27627854</v>
      </c>
      <c r="O2" s="640">
        <v>0</v>
      </c>
      <c r="P2" s="640">
        <v>0</v>
      </c>
      <c r="Q2" s="641">
        <v>26743599104</v>
      </c>
      <c r="R2" s="641">
        <v>0</v>
      </c>
      <c r="S2" s="641">
        <v>0</v>
      </c>
      <c r="T2" s="641">
        <v>368975456</v>
      </c>
      <c r="U2" s="641">
        <v>14812143</v>
      </c>
      <c r="V2" s="641">
        <v>0</v>
      </c>
      <c r="W2" s="641">
        <v>0</v>
      </c>
      <c r="X2" s="641">
        <v>139551600</v>
      </c>
      <c r="Y2" s="641">
        <v>1300827</v>
      </c>
      <c r="Z2" s="641">
        <v>0</v>
      </c>
      <c r="AA2" s="641">
        <v>0</v>
      </c>
      <c r="AB2" s="641">
        <v>0</v>
      </c>
      <c r="AC2" s="641">
        <v>0</v>
      </c>
      <c r="AD2" s="641">
        <v>0</v>
      </c>
      <c r="AE2" s="641">
        <v>0</v>
      </c>
      <c r="AF2" s="642">
        <v>3809693952</v>
      </c>
      <c r="AG2" s="642">
        <v>2082749</v>
      </c>
      <c r="AH2" s="642">
        <v>55375116</v>
      </c>
      <c r="AI2" s="642">
        <v>12577551360</v>
      </c>
      <c r="AJ2" s="642">
        <v>703742016</v>
      </c>
      <c r="AK2" s="642">
        <v>394291008</v>
      </c>
      <c r="AL2" s="642">
        <v>27195108</v>
      </c>
      <c r="AM2" s="642">
        <v>30013382</v>
      </c>
      <c r="AN2" s="642">
        <v>2419652</v>
      </c>
      <c r="AO2" s="642">
        <v>0</v>
      </c>
      <c r="AP2" s="642">
        <v>7840614</v>
      </c>
      <c r="AQ2" s="642">
        <v>0</v>
      </c>
      <c r="AR2" s="642">
        <v>245765296</v>
      </c>
      <c r="AS2" s="642">
        <v>5267307</v>
      </c>
      <c r="AT2" s="642">
        <v>1143568640</v>
      </c>
      <c r="AU2" s="210">
        <v>3809693952</v>
      </c>
      <c r="AV2" s="210">
        <v>0</v>
      </c>
      <c r="AW2" s="210">
        <v>80216992</v>
      </c>
      <c r="AX2" s="210">
        <v>701936000</v>
      </c>
      <c r="AY2" s="210">
        <v>38144828</v>
      </c>
      <c r="AZ2" s="210">
        <v>420879040</v>
      </c>
      <c r="BA2" s="210">
        <v>1628260992</v>
      </c>
      <c r="BB2" s="210">
        <v>0</v>
      </c>
      <c r="BC2" s="210">
        <v>0</v>
      </c>
      <c r="BD2" s="210">
        <v>304317504</v>
      </c>
      <c r="BE2" s="210">
        <v>0</v>
      </c>
      <c r="BF2" s="210">
        <v>0</v>
      </c>
      <c r="BG2" s="210">
        <v>0</v>
      </c>
      <c r="BH2" s="210">
        <v>884305664</v>
      </c>
      <c r="BI2" s="210">
        <v>0</v>
      </c>
      <c r="BJ2" s="210">
        <v>25975314432</v>
      </c>
      <c r="BK2" s="210">
        <v>18141700096</v>
      </c>
      <c r="BL2" s="643">
        <v>2883453184</v>
      </c>
      <c r="BM2" s="643">
        <v>1012406592</v>
      </c>
      <c r="BN2" s="643">
        <v>3937755136</v>
      </c>
      <c r="BO2" s="643">
        <v>0</v>
      </c>
      <c r="BP2" s="643">
        <v>19400482816</v>
      </c>
      <c r="BQ2" s="643">
        <v>3236472320</v>
      </c>
      <c r="BR2" s="643">
        <v>37925732</v>
      </c>
      <c r="BS2" s="643">
        <v>508806432</v>
      </c>
      <c r="BT2" s="643">
        <v>15617276928</v>
      </c>
      <c r="BU2" s="643">
        <v>1386898</v>
      </c>
      <c r="BV2" s="643">
        <v>4631344</v>
      </c>
      <c r="BW2" s="643">
        <v>26787780608</v>
      </c>
      <c r="BX2" s="643">
        <v>4147593984</v>
      </c>
      <c r="BY2" s="643">
        <v>200529280</v>
      </c>
      <c r="BZ2" s="643">
        <v>359812864</v>
      </c>
      <c r="CA2" s="210">
        <v>13484404736</v>
      </c>
      <c r="CB2" s="210">
        <v>44980121600</v>
      </c>
      <c r="CC2" s="210">
        <v>2883453184</v>
      </c>
      <c r="CD2" s="210">
        <v>1012406592</v>
      </c>
      <c r="CE2" s="210">
        <v>3937755136</v>
      </c>
      <c r="CF2" s="210">
        <v>0</v>
      </c>
      <c r="CG2" s="639">
        <v>19400482816</v>
      </c>
      <c r="CH2" s="210">
        <v>3236472320</v>
      </c>
      <c r="CI2" s="210">
        <v>37925732</v>
      </c>
      <c r="CJ2" s="210">
        <v>508806432</v>
      </c>
      <c r="CK2" s="210">
        <v>15617276928</v>
      </c>
      <c r="CL2" s="210">
        <v>1386898</v>
      </c>
      <c r="CM2" s="210">
        <v>4631344</v>
      </c>
      <c r="CN2" s="210">
        <v>26787780608</v>
      </c>
      <c r="CO2" s="210">
        <v>4147593984</v>
      </c>
      <c r="CP2" s="210">
        <v>200529280</v>
      </c>
      <c r="CQ2" s="210">
        <v>359812864</v>
      </c>
      <c r="CR2" s="210">
        <v>13484404736</v>
      </c>
      <c r="CS2" s="210">
        <v>44980121600</v>
      </c>
    </row>
    <row r="3" spans="1:97" x14ac:dyDescent="0.3">
      <c r="A3" s="210">
        <v>2</v>
      </c>
      <c r="B3" s="640">
        <v>0</v>
      </c>
      <c r="C3" s="640">
        <v>6920413184</v>
      </c>
      <c r="D3" s="640">
        <v>0</v>
      </c>
      <c r="E3" s="640">
        <v>0</v>
      </c>
      <c r="F3" s="640">
        <v>0</v>
      </c>
      <c r="G3" s="640">
        <v>0</v>
      </c>
      <c r="H3" s="640">
        <v>0</v>
      </c>
      <c r="I3" s="640">
        <v>0</v>
      </c>
      <c r="J3" s="640">
        <v>0</v>
      </c>
      <c r="K3" s="640">
        <v>0</v>
      </c>
      <c r="L3" s="640">
        <v>0</v>
      </c>
      <c r="M3" s="640">
        <v>0</v>
      </c>
      <c r="N3" s="640">
        <v>589439</v>
      </c>
      <c r="O3" s="640">
        <v>0</v>
      </c>
      <c r="P3" s="640">
        <v>0</v>
      </c>
      <c r="Q3" s="641">
        <v>0</v>
      </c>
      <c r="R3" s="641">
        <v>6920413184</v>
      </c>
      <c r="S3" s="641">
        <v>0</v>
      </c>
      <c r="T3" s="641">
        <v>3639763</v>
      </c>
      <c r="U3" s="641">
        <v>39037124</v>
      </c>
      <c r="V3" s="641">
        <v>75632336</v>
      </c>
      <c r="W3" s="641">
        <v>14597623</v>
      </c>
      <c r="X3" s="641">
        <v>32045062</v>
      </c>
      <c r="Y3" s="641">
        <v>1261366</v>
      </c>
      <c r="Z3" s="641">
        <v>12947500</v>
      </c>
      <c r="AA3" s="641">
        <v>0</v>
      </c>
      <c r="AB3" s="641">
        <v>0</v>
      </c>
      <c r="AC3" s="641">
        <v>0</v>
      </c>
      <c r="AD3" s="641">
        <v>171389296</v>
      </c>
      <c r="AE3" s="641">
        <v>0</v>
      </c>
      <c r="AF3" s="642">
        <v>0</v>
      </c>
      <c r="AG3" s="642">
        <v>1683086976</v>
      </c>
      <c r="AH3" s="642">
        <v>2201906</v>
      </c>
      <c r="AI3" s="642">
        <v>276306496</v>
      </c>
      <c r="AJ3" s="642">
        <v>46341</v>
      </c>
      <c r="AK3" s="642">
        <v>9487</v>
      </c>
      <c r="AL3" s="642">
        <v>28123434</v>
      </c>
      <c r="AM3" s="642">
        <v>0</v>
      </c>
      <c r="AN3" s="642">
        <v>10498</v>
      </c>
      <c r="AO3" s="642">
        <v>0</v>
      </c>
      <c r="AP3" s="642">
        <v>966913</v>
      </c>
      <c r="AQ3" s="642">
        <v>0</v>
      </c>
      <c r="AR3" s="642">
        <v>29352268</v>
      </c>
      <c r="AS3" s="642">
        <v>0</v>
      </c>
      <c r="AT3" s="642">
        <v>184661376</v>
      </c>
      <c r="AU3" s="210">
        <v>2082749</v>
      </c>
      <c r="AV3" s="210">
        <v>1683086976</v>
      </c>
      <c r="AW3" s="210">
        <v>583650240</v>
      </c>
      <c r="AX3" s="210">
        <v>20257402</v>
      </c>
      <c r="AY3" s="210">
        <v>169157616</v>
      </c>
      <c r="AZ3" s="210">
        <v>616802240</v>
      </c>
      <c r="BA3" s="210">
        <v>120788424</v>
      </c>
      <c r="BB3" s="210">
        <v>612973</v>
      </c>
      <c r="BC3" s="210">
        <v>0</v>
      </c>
      <c r="BD3" s="210">
        <v>256406576</v>
      </c>
      <c r="BE3" s="210">
        <v>0</v>
      </c>
      <c r="BF3" s="210">
        <v>1456796</v>
      </c>
      <c r="BG3" s="210">
        <v>0</v>
      </c>
      <c r="BH3" s="210">
        <v>426933440</v>
      </c>
      <c r="BI3" s="210">
        <v>13313738</v>
      </c>
      <c r="BJ3" s="210">
        <v>8003140608</v>
      </c>
      <c r="BK3" s="210">
        <v>3925506304</v>
      </c>
      <c r="BL3" s="643">
        <v>5900491264</v>
      </c>
      <c r="BM3" s="643">
        <v>0</v>
      </c>
      <c r="BN3" s="643">
        <v>-1822857216</v>
      </c>
      <c r="BO3" s="643">
        <v>0</v>
      </c>
      <c r="BP3" s="643">
        <v>3376414464</v>
      </c>
      <c r="BQ3" s="643">
        <v>535511648</v>
      </c>
      <c r="BR3" s="643">
        <v>28825894</v>
      </c>
      <c r="BS3" s="643">
        <v>530593152</v>
      </c>
      <c r="BT3" s="643">
        <v>2281483776</v>
      </c>
      <c r="BU3" s="643">
        <v>60532</v>
      </c>
      <c r="BV3" s="643">
        <v>72893</v>
      </c>
      <c r="BW3" s="643">
        <v>6921002496</v>
      </c>
      <c r="BX3" s="643">
        <v>132568664</v>
      </c>
      <c r="BY3" s="643">
        <v>1217549</v>
      </c>
      <c r="BZ3" s="643">
        <v>28810292</v>
      </c>
      <c r="CA3" s="210">
        <v>3124307456</v>
      </c>
      <c r="CB3" s="210">
        <v>10207905792</v>
      </c>
      <c r="CC3" s="210">
        <v>5900491264</v>
      </c>
      <c r="CD3" s="210">
        <v>0</v>
      </c>
      <c r="CE3" s="210">
        <v>-1822857216</v>
      </c>
      <c r="CF3" s="210">
        <v>0</v>
      </c>
      <c r="CG3" s="639">
        <v>3376414464</v>
      </c>
      <c r="CH3" s="210">
        <v>535511648</v>
      </c>
      <c r="CI3" s="210">
        <v>28825894</v>
      </c>
      <c r="CJ3" s="210">
        <v>530593152</v>
      </c>
      <c r="CK3" s="210">
        <v>2281483776</v>
      </c>
      <c r="CL3" s="210">
        <v>60532</v>
      </c>
      <c r="CM3" s="210">
        <v>72893</v>
      </c>
      <c r="CN3" s="210">
        <v>6921002496</v>
      </c>
      <c r="CO3" s="210">
        <v>132568664</v>
      </c>
      <c r="CP3" s="210">
        <v>1217549</v>
      </c>
      <c r="CQ3" s="210">
        <v>28810292</v>
      </c>
      <c r="CR3" s="210">
        <v>3124307456</v>
      </c>
      <c r="CS3" s="210">
        <v>10207905792</v>
      </c>
    </row>
    <row r="4" spans="1:97" x14ac:dyDescent="0.3">
      <c r="A4" s="210">
        <v>3</v>
      </c>
      <c r="B4" s="640">
        <v>0</v>
      </c>
      <c r="C4" s="640">
        <v>0</v>
      </c>
      <c r="D4" s="640">
        <v>41918140416</v>
      </c>
      <c r="E4" s="640">
        <v>0</v>
      </c>
      <c r="F4" s="640">
        <v>0</v>
      </c>
      <c r="G4" s="640">
        <v>71656600</v>
      </c>
      <c r="H4" s="640">
        <v>3354991</v>
      </c>
      <c r="I4" s="640">
        <v>0</v>
      </c>
      <c r="J4" s="640">
        <v>0</v>
      </c>
      <c r="K4" s="640">
        <v>0</v>
      </c>
      <c r="L4" s="640">
        <v>0</v>
      </c>
      <c r="M4" s="640">
        <v>0</v>
      </c>
      <c r="N4" s="640">
        <v>13406625</v>
      </c>
      <c r="O4" s="640">
        <v>0</v>
      </c>
      <c r="P4" s="640">
        <v>0</v>
      </c>
      <c r="Q4" s="641">
        <v>0</v>
      </c>
      <c r="R4" s="641">
        <v>0</v>
      </c>
      <c r="S4" s="641">
        <v>41918140416</v>
      </c>
      <c r="T4" s="641">
        <v>0</v>
      </c>
      <c r="U4" s="641">
        <v>0</v>
      </c>
      <c r="V4" s="641">
        <v>36949224</v>
      </c>
      <c r="W4" s="641">
        <v>100371736</v>
      </c>
      <c r="X4" s="641">
        <v>695896768</v>
      </c>
      <c r="Y4" s="641">
        <v>245482544</v>
      </c>
      <c r="Z4" s="641">
        <v>14476542</v>
      </c>
      <c r="AA4" s="641">
        <v>85282168</v>
      </c>
      <c r="AB4" s="641">
        <v>79289824</v>
      </c>
      <c r="AC4" s="641">
        <v>0</v>
      </c>
      <c r="AD4" s="641">
        <v>519541600</v>
      </c>
      <c r="AE4" s="641">
        <v>135817456</v>
      </c>
      <c r="AF4" s="642">
        <v>80216992</v>
      </c>
      <c r="AG4" s="642">
        <v>583650240</v>
      </c>
      <c r="AH4" s="642">
        <v>15121562624</v>
      </c>
      <c r="AI4" s="642">
        <v>363822176</v>
      </c>
      <c r="AJ4" s="642">
        <v>108480104</v>
      </c>
      <c r="AK4" s="642">
        <v>2325904128</v>
      </c>
      <c r="AL4" s="642">
        <v>441273888</v>
      </c>
      <c r="AM4" s="642">
        <v>1074452608</v>
      </c>
      <c r="AN4" s="642">
        <v>234422448</v>
      </c>
      <c r="AO4" s="642">
        <v>3849852160</v>
      </c>
      <c r="AP4" s="642">
        <v>21771412</v>
      </c>
      <c r="AQ4" s="642">
        <v>120223400</v>
      </c>
      <c r="AR4" s="642">
        <v>445670048</v>
      </c>
      <c r="AS4" s="642">
        <v>534394880</v>
      </c>
      <c r="AT4" s="642">
        <v>255838592</v>
      </c>
      <c r="AU4" s="210">
        <v>55375116</v>
      </c>
      <c r="AV4" s="210">
        <v>2201906</v>
      </c>
      <c r="AW4" s="210">
        <v>15121562624</v>
      </c>
      <c r="AX4" s="210">
        <v>104779392</v>
      </c>
      <c r="AY4" s="210">
        <v>119778520</v>
      </c>
      <c r="AZ4" s="210">
        <v>2168434944</v>
      </c>
      <c r="BA4" s="210">
        <v>913324416</v>
      </c>
      <c r="BB4" s="210">
        <v>139418560</v>
      </c>
      <c r="BC4" s="210">
        <v>0</v>
      </c>
      <c r="BD4" s="210">
        <v>2474680576</v>
      </c>
      <c r="BE4" s="210">
        <v>0</v>
      </c>
      <c r="BF4" s="210">
        <v>18620580</v>
      </c>
      <c r="BG4" s="210">
        <v>0</v>
      </c>
      <c r="BH4" s="210">
        <v>3217370880</v>
      </c>
      <c r="BI4" s="210">
        <v>115920856</v>
      </c>
      <c r="BJ4" s="210">
        <v>30344112128</v>
      </c>
      <c r="BK4" s="210">
        <v>3970787072</v>
      </c>
      <c r="BL4" s="643">
        <v>30036836352</v>
      </c>
      <c r="BM4" s="643">
        <v>0</v>
      </c>
      <c r="BN4" s="643">
        <v>-3663511552</v>
      </c>
      <c r="BO4" s="643">
        <v>0</v>
      </c>
      <c r="BP4" s="643">
        <v>19379783680</v>
      </c>
      <c r="BQ4" s="643">
        <v>6117665280</v>
      </c>
      <c r="BR4" s="643">
        <v>731888192</v>
      </c>
      <c r="BS4" s="643">
        <v>1393146624</v>
      </c>
      <c r="BT4" s="643">
        <v>11137083392</v>
      </c>
      <c r="BU4" s="643">
        <v>280598</v>
      </c>
      <c r="BV4" s="643">
        <v>24969</v>
      </c>
      <c r="BW4" s="643">
        <v>42006556672</v>
      </c>
      <c r="BX4" s="643">
        <v>7798579200</v>
      </c>
      <c r="BY4" s="643">
        <v>158796320</v>
      </c>
      <c r="BZ4" s="643">
        <v>3632160512</v>
      </c>
      <c r="CA4" s="210">
        <v>2309553664</v>
      </c>
      <c r="CB4" s="210">
        <v>55905648640</v>
      </c>
      <c r="CC4" s="210">
        <v>30036836352</v>
      </c>
      <c r="CD4" s="210">
        <v>0</v>
      </c>
      <c r="CE4" s="210">
        <v>-3663511552</v>
      </c>
      <c r="CF4" s="210">
        <v>0</v>
      </c>
      <c r="CG4" s="639">
        <v>19379783680</v>
      </c>
      <c r="CH4" s="210">
        <v>6117665280</v>
      </c>
      <c r="CI4" s="210">
        <v>731888192</v>
      </c>
      <c r="CJ4" s="210">
        <v>1393146624</v>
      </c>
      <c r="CK4" s="210">
        <v>11137083392</v>
      </c>
      <c r="CL4" s="210">
        <v>280598</v>
      </c>
      <c r="CM4" s="210">
        <v>24969</v>
      </c>
      <c r="CN4" s="210">
        <v>42006556672</v>
      </c>
      <c r="CO4" s="210">
        <v>7798579200</v>
      </c>
      <c r="CP4" s="210">
        <v>158796320</v>
      </c>
      <c r="CQ4" s="210">
        <v>3632160512</v>
      </c>
      <c r="CR4" s="210">
        <v>2309553664</v>
      </c>
      <c r="CS4" s="210">
        <v>55905648640</v>
      </c>
    </row>
    <row r="5" spans="1:97" x14ac:dyDescent="0.3">
      <c r="A5" s="210">
        <v>4</v>
      </c>
      <c r="B5" s="640">
        <v>368975456</v>
      </c>
      <c r="C5" s="640">
        <v>3639763</v>
      </c>
      <c r="D5" s="640">
        <v>0</v>
      </c>
      <c r="E5" s="640">
        <v>31560130560</v>
      </c>
      <c r="F5" s="640">
        <v>10958920</v>
      </c>
      <c r="G5" s="640">
        <v>0</v>
      </c>
      <c r="H5" s="640">
        <v>69773264</v>
      </c>
      <c r="I5" s="640">
        <v>0</v>
      </c>
      <c r="J5" s="640">
        <v>0</v>
      </c>
      <c r="K5" s="640">
        <v>0</v>
      </c>
      <c r="L5" s="640">
        <v>0</v>
      </c>
      <c r="M5" s="640">
        <v>0</v>
      </c>
      <c r="N5" s="640">
        <v>9590375</v>
      </c>
      <c r="O5" s="640">
        <v>3356845</v>
      </c>
      <c r="P5" s="640">
        <v>0</v>
      </c>
      <c r="Q5" s="641">
        <v>15683852</v>
      </c>
      <c r="R5" s="641">
        <v>0</v>
      </c>
      <c r="S5" s="641">
        <v>0</v>
      </c>
      <c r="T5" s="641">
        <v>31560130560</v>
      </c>
      <c r="U5" s="641">
        <v>13411283</v>
      </c>
      <c r="V5" s="641">
        <v>7759258</v>
      </c>
      <c r="W5" s="641">
        <v>260615440</v>
      </c>
      <c r="X5" s="641">
        <v>252263360</v>
      </c>
      <c r="Y5" s="641">
        <v>148594000</v>
      </c>
      <c r="Z5" s="641">
        <v>0</v>
      </c>
      <c r="AA5" s="641">
        <v>0</v>
      </c>
      <c r="AB5" s="641">
        <v>0</v>
      </c>
      <c r="AC5" s="641">
        <v>0</v>
      </c>
      <c r="AD5" s="641">
        <v>372801216</v>
      </c>
      <c r="AE5" s="641">
        <v>393609</v>
      </c>
      <c r="AF5" s="642">
        <v>701936000</v>
      </c>
      <c r="AG5" s="642">
        <v>20257402</v>
      </c>
      <c r="AH5" s="642">
        <v>104779392</v>
      </c>
      <c r="AI5" s="642">
        <v>4384845312</v>
      </c>
      <c r="AJ5" s="642">
        <v>290399168</v>
      </c>
      <c r="AK5" s="642">
        <v>18300138</v>
      </c>
      <c r="AL5" s="642">
        <v>283076224</v>
      </c>
      <c r="AM5" s="642">
        <v>2739123</v>
      </c>
      <c r="AN5" s="642">
        <v>67745752</v>
      </c>
      <c r="AO5" s="642">
        <v>38818</v>
      </c>
      <c r="AP5" s="642">
        <v>14169265</v>
      </c>
      <c r="AQ5" s="642">
        <v>0</v>
      </c>
      <c r="AR5" s="642">
        <v>369843072</v>
      </c>
      <c r="AS5" s="642">
        <v>92759128</v>
      </c>
      <c r="AT5" s="642">
        <v>5550461952</v>
      </c>
      <c r="AU5" s="210">
        <v>12577551360</v>
      </c>
      <c r="AV5" s="210">
        <v>276306496</v>
      </c>
      <c r="AW5" s="210">
        <v>363822176</v>
      </c>
      <c r="AX5" s="210">
        <v>4384845312</v>
      </c>
      <c r="AY5" s="210">
        <v>268072800</v>
      </c>
      <c r="AZ5" s="210">
        <v>1347833600</v>
      </c>
      <c r="BA5" s="210">
        <v>910335168</v>
      </c>
      <c r="BB5" s="210">
        <v>8043272</v>
      </c>
      <c r="BC5" s="210">
        <v>0</v>
      </c>
      <c r="BD5" s="210">
        <v>1437746816</v>
      </c>
      <c r="BE5" s="210">
        <v>0</v>
      </c>
      <c r="BF5" s="210">
        <v>6257316</v>
      </c>
      <c r="BG5" s="210">
        <v>0</v>
      </c>
      <c r="BH5" s="210">
        <v>1773614464</v>
      </c>
      <c r="BI5" s="210">
        <v>46311296</v>
      </c>
      <c r="BJ5" s="210">
        <v>35793928192</v>
      </c>
      <c r="BK5" s="210">
        <v>32546897920</v>
      </c>
      <c r="BL5" s="643">
        <v>1784933504</v>
      </c>
      <c r="BM5" s="643">
        <v>0</v>
      </c>
      <c r="BN5" s="643">
        <v>1462095872</v>
      </c>
      <c r="BO5" s="643">
        <v>0</v>
      </c>
      <c r="BP5" s="643">
        <v>9230912512</v>
      </c>
      <c r="BQ5" s="643">
        <v>2459040512</v>
      </c>
      <c r="BR5" s="643">
        <v>177661392</v>
      </c>
      <c r="BS5" s="643">
        <v>856080576</v>
      </c>
      <c r="BT5" s="643">
        <v>5738129920</v>
      </c>
      <c r="BU5" s="643">
        <v>253598</v>
      </c>
      <c r="BV5" s="643">
        <v>110621</v>
      </c>
      <c r="BW5" s="643">
        <v>32026425344</v>
      </c>
      <c r="BX5" s="643">
        <v>3095548416</v>
      </c>
      <c r="BY5" s="643">
        <v>288904128</v>
      </c>
      <c r="BZ5" s="643">
        <v>5144044544</v>
      </c>
      <c r="CA5" s="210">
        <v>7140355584</v>
      </c>
      <c r="CB5" s="210">
        <v>47695278080</v>
      </c>
      <c r="CC5" s="210">
        <v>1784933504</v>
      </c>
      <c r="CD5" s="210">
        <v>0</v>
      </c>
      <c r="CE5" s="210">
        <v>1462095872</v>
      </c>
      <c r="CF5" s="210">
        <v>0</v>
      </c>
      <c r="CG5" s="639">
        <v>9230912512</v>
      </c>
      <c r="CH5" s="210">
        <v>2459040512</v>
      </c>
      <c r="CI5" s="210">
        <v>177661392</v>
      </c>
      <c r="CJ5" s="210">
        <v>856080576</v>
      </c>
      <c r="CK5" s="210">
        <v>5738129920</v>
      </c>
      <c r="CL5" s="210">
        <v>253598</v>
      </c>
      <c r="CM5" s="210">
        <v>110621</v>
      </c>
      <c r="CN5" s="210">
        <v>32026425344</v>
      </c>
      <c r="CO5" s="210">
        <v>3095548416</v>
      </c>
      <c r="CP5" s="210">
        <v>288904128</v>
      </c>
      <c r="CQ5" s="210">
        <v>5144044544</v>
      </c>
      <c r="CR5" s="210">
        <v>7140355584</v>
      </c>
      <c r="CS5" s="210">
        <v>47695278080</v>
      </c>
    </row>
    <row r="6" spans="1:97" x14ac:dyDescent="0.3">
      <c r="A6" s="210">
        <v>5</v>
      </c>
      <c r="B6" s="640">
        <v>14812143</v>
      </c>
      <c r="C6" s="640">
        <v>39037124</v>
      </c>
      <c r="D6" s="640">
        <v>0</v>
      </c>
      <c r="E6" s="640">
        <v>13411283</v>
      </c>
      <c r="F6" s="640">
        <v>15174563840</v>
      </c>
      <c r="G6" s="640">
        <v>8999944</v>
      </c>
      <c r="H6" s="640">
        <v>177463</v>
      </c>
      <c r="I6" s="640">
        <v>0</v>
      </c>
      <c r="J6" s="640">
        <v>0</v>
      </c>
      <c r="K6" s="640">
        <v>0</v>
      </c>
      <c r="L6" s="640">
        <v>0</v>
      </c>
      <c r="M6" s="640">
        <v>0</v>
      </c>
      <c r="N6" s="640">
        <v>5008599</v>
      </c>
      <c r="O6" s="640">
        <v>0</v>
      </c>
      <c r="P6" s="640">
        <v>0</v>
      </c>
      <c r="Q6" s="641">
        <v>869589</v>
      </c>
      <c r="R6" s="641">
        <v>0</v>
      </c>
      <c r="S6" s="641">
        <v>0</v>
      </c>
      <c r="T6" s="641">
        <v>10958920</v>
      </c>
      <c r="U6" s="641">
        <v>15174563840</v>
      </c>
      <c r="V6" s="641">
        <v>14485371</v>
      </c>
      <c r="W6" s="641">
        <v>727384</v>
      </c>
      <c r="X6" s="641">
        <v>37110096</v>
      </c>
      <c r="Y6" s="641">
        <v>80651400</v>
      </c>
      <c r="Z6" s="641">
        <v>0</v>
      </c>
      <c r="AA6" s="641">
        <v>0</v>
      </c>
      <c r="AB6" s="641">
        <v>0</v>
      </c>
      <c r="AC6" s="641">
        <v>0</v>
      </c>
      <c r="AD6" s="641">
        <v>179506496</v>
      </c>
      <c r="AE6" s="641">
        <v>0</v>
      </c>
      <c r="AF6" s="642">
        <v>38144828</v>
      </c>
      <c r="AG6" s="642">
        <v>169157616</v>
      </c>
      <c r="AH6" s="642">
        <v>119778520</v>
      </c>
      <c r="AI6" s="642">
        <v>268072800</v>
      </c>
      <c r="AJ6" s="642">
        <v>5756894208</v>
      </c>
      <c r="AK6" s="642">
        <v>390434912</v>
      </c>
      <c r="AL6" s="642">
        <v>84625696</v>
      </c>
      <c r="AM6" s="642">
        <v>121863616</v>
      </c>
      <c r="AN6" s="642">
        <v>80718896</v>
      </c>
      <c r="AO6" s="642">
        <v>59629600</v>
      </c>
      <c r="AP6" s="642">
        <v>310868256</v>
      </c>
      <c r="AQ6" s="642">
        <v>6611835</v>
      </c>
      <c r="AR6" s="642">
        <v>492563840</v>
      </c>
      <c r="AS6" s="642">
        <v>841520960</v>
      </c>
      <c r="AT6" s="642">
        <v>898857728</v>
      </c>
      <c r="AU6" s="210">
        <v>703742016</v>
      </c>
      <c r="AV6" s="210">
        <v>46341</v>
      </c>
      <c r="AW6" s="210">
        <v>108480104</v>
      </c>
      <c r="AX6" s="210">
        <v>290399168</v>
      </c>
      <c r="AY6" s="210">
        <v>5756894208</v>
      </c>
      <c r="AZ6" s="210">
        <v>623515840</v>
      </c>
      <c r="BA6" s="210">
        <v>791323712</v>
      </c>
      <c r="BB6" s="210">
        <v>20982298</v>
      </c>
      <c r="BC6" s="210">
        <v>0</v>
      </c>
      <c r="BD6" s="210">
        <v>638096064</v>
      </c>
      <c r="BE6" s="210">
        <v>0</v>
      </c>
      <c r="BF6" s="210">
        <v>35581928</v>
      </c>
      <c r="BG6" s="210">
        <v>0</v>
      </c>
      <c r="BH6" s="210">
        <v>1089521792</v>
      </c>
      <c r="BI6" s="210">
        <v>6725258</v>
      </c>
      <c r="BJ6" s="210">
        <v>13744650240</v>
      </c>
      <c r="BK6" s="210">
        <v>11962094592</v>
      </c>
      <c r="BL6" s="643">
        <v>4601138176</v>
      </c>
      <c r="BM6" s="643">
        <v>104900824</v>
      </c>
      <c r="BN6" s="643">
        <v>-2923483136</v>
      </c>
      <c r="BO6" s="643">
        <v>0</v>
      </c>
      <c r="BP6" s="643">
        <v>5433564160</v>
      </c>
      <c r="BQ6" s="643">
        <v>1510580992</v>
      </c>
      <c r="BR6" s="643">
        <v>81640448</v>
      </c>
      <c r="BS6" s="643">
        <v>441722144</v>
      </c>
      <c r="BT6" s="643">
        <v>3399620608</v>
      </c>
      <c r="BU6" s="643">
        <v>289749</v>
      </c>
      <c r="BV6" s="643">
        <v>376827</v>
      </c>
      <c r="BW6" s="643">
        <v>15256009728</v>
      </c>
      <c r="BX6" s="643">
        <v>1843738240</v>
      </c>
      <c r="BY6" s="643">
        <v>133561288</v>
      </c>
      <c r="BZ6" s="643">
        <v>1038660096</v>
      </c>
      <c r="CA6" s="210">
        <v>5112423936</v>
      </c>
      <c r="CB6" s="210">
        <v>23384393728</v>
      </c>
      <c r="CC6" s="210">
        <v>4601138176</v>
      </c>
      <c r="CD6" s="210">
        <v>104900824</v>
      </c>
      <c r="CE6" s="210">
        <v>-2923483136</v>
      </c>
      <c r="CF6" s="210">
        <v>0</v>
      </c>
      <c r="CG6" s="639">
        <v>5433564160</v>
      </c>
      <c r="CH6" s="210">
        <v>1510580992</v>
      </c>
      <c r="CI6" s="210">
        <v>81640448</v>
      </c>
      <c r="CJ6" s="210">
        <v>441722144</v>
      </c>
      <c r="CK6" s="210">
        <v>3399620608</v>
      </c>
      <c r="CL6" s="210">
        <v>289749</v>
      </c>
      <c r="CM6" s="210">
        <v>376827</v>
      </c>
      <c r="CN6" s="210">
        <v>15256009728</v>
      </c>
      <c r="CO6" s="210">
        <v>1843738240</v>
      </c>
      <c r="CP6" s="210">
        <v>133561288</v>
      </c>
      <c r="CQ6" s="210">
        <v>1038660096</v>
      </c>
      <c r="CR6" s="210">
        <v>5112423936</v>
      </c>
      <c r="CS6" s="210">
        <v>23384393728</v>
      </c>
    </row>
    <row r="7" spans="1:97" x14ac:dyDescent="0.3">
      <c r="A7" s="210">
        <v>6</v>
      </c>
      <c r="B7" s="640">
        <v>0</v>
      </c>
      <c r="C7" s="640">
        <v>75632336</v>
      </c>
      <c r="D7" s="640">
        <v>36949224</v>
      </c>
      <c r="E7" s="640">
        <v>7759258</v>
      </c>
      <c r="F7" s="640">
        <v>14485371</v>
      </c>
      <c r="G7" s="640">
        <v>26051375104</v>
      </c>
      <c r="H7" s="640">
        <v>189139120</v>
      </c>
      <c r="I7" s="640">
        <v>50477232</v>
      </c>
      <c r="J7" s="640">
        <v>61062576</v>
      </c>
      <c r="K7" s="640">
        <v>2889697</v>
      </c>
      <c r="L7" s="640">
        <v>0</v>
      </c>
      <c r="M7" s="640">
        <v>0</v>
      </c>
      <c r="N7" s="640">
        <v>1494995</v>
      </c>
      <c r="O7" s="640">
        <v>0</v>
      </c>
      <c r="P7" s="640">
        <v>0</v>
      </c>
      <c r="Q7" s="641">
        <v>0</v>
      </c>
      <c r="R7" s="641">
        <v>0</v>
      </c>
      <c r="S7" s="641">
        <v>71656600</v>
      </c>
      <c r="T7" s="641">
        <v>0</v>
      </c>
      <c r="U7" s="641">
        <v>8999944</v>
      </c>
      <c r="V7" s="641">
        <v>26051375104</v>
      </c>
      <c r="W7" s="641">
        <v>46184100</v>
      </c>
      <c r="X7" s="641">
        <v>73878056</v>
      </c>
      <c r="Y7" s="641">
        <v>263150208</v>
      </c>
      <c r="Z7" s="641">
        <v>2605270</v>
      </c>
      <c r="AA7" s="641">
        <v>0</v>
      </c>
      <c r="AB7" s="641">
        <v>49064</v>
      </c>
      <c r="AC7" s="641">
        <v>0</v>
      </c>
      <c r="AD7" s="641">
        <v>147773344</v>
      </c>
      <c r="AE7" s="641">
        <v>0</v>
      </c>
      <c r="AF7" s="642">
        <v>420879040</v>
      </c>
      <c r="AG7" s="642">
        <v>616802240</v>
      </c>
      <c r="AH7" s="642">
        <v>2168434944</v>
      </c>
      <c r="AI7" s="642">
        <v>1347833600</v>
      </c>
      <c r="AJ7" s="642">
        <v>623515840</v>
      </c>
      <c r="AK7" s="642">
        <v>6779517440</v>
      </c>
      <c r="AL7" s="642">
        <v>1425340288</v>
      </c>
      <c r="AM7" s="642">
        <v>8387492864</v>
      </c>
      <c r="AN7" s="642">
        <v>746430016</v>
      </c>
      <c r="AO7" s="642">
        <v>2580300800</v>
      </c>
      <c r="AP7" s="642">
        <v>291407840</v>
      </c>
      <c r="AQ7" s="642">
        <v>639206336</v>
      </c>
      <c r="AR7" s="642">
        <v>985517376</v>
      </c>
      <c r="AS7" s="642">
        <v>2277465600</v>
      </c>
      <c r="AT7" s="642">
        <v>695785408</v>
      </c>
      <c r="AU7" s="210">
        <v>394291008</v>
      </c>
      <c r="AV7" s="210">
        <v>9487</v>
      </c>
      <c r="AW7" s="210">
        <v>2325904128</v>
      </c>
      <c r="AX7" s="210">
        <v>18300138</v>
      </c>
      <c r="AY7" s="210">
        <v>390434912</v>
      </c>
      <c r="AZ7" s="210">
        <v>6779517440</v>
      </c>
      <c r="BA7" s="210">
        <v>2818461952</v>
      </c>
      <c r="BB7" s="210">
        <v>22381096</v>
      </c>
      <c r="BC7" s="210">
        <v>0</v>
      </c>
      <c r="BD7" s="210">
        <v>1055292672</v>
      </c>
      <c r="BE7" s="210">
        <v>0</v>
      </c>
      <c r="BF7" s="210">
        <v>54472204</v>
      </c>
      <c r="BG7" s="210">
        <v>0</v>
      </c>
      <c r="BH7" s="210">
        <v>2507231232</v>
      </c>
      <c r="BI7" s="210">
        <v>109506144</v>
      </c>
      <c r="BJ7" s="210">
        <v>28841824256</v>
      </c>
      <c r="BK7" s="210">
        <v>11189940224</v>
      </c>
      <c r="BL7" s="643">
        <v>2824658176</v>
      </c>
      <c r="BM7" s="643">
        <v>15405655040</v>
      </c>
      <c r="BN7" s="643">
        <v>-578428928</v>
      </c>
      <c r="BO7" s="643">
        <v>0</v>
      </c>
      <c r="BP7" s="643">
        <v>10189863936</v>
      </c>
      <c r="BQ7" s="643">
        <v>3142932480</v>
      </c>
      <c r="BR7" s="643">
        <v>175885216</v>
      </c>
      <c r="BS7" s="643">
        <v>1070070016</v>
      </c>
      <c r="BT7" s="643">
        <v>5800976896</v>
      </c>
      <c r="BU7" s="643">
        <v>393680</v>
      </c>
      <c r="BV7" s="643">
        <v>220275</v>
      </c>
      <c r="BW7" s="643">
        <v>26491265024</v>
      </c>
      <c r="BX7" s="643">
        <v>17178010624</v>
      </c>
      <c r="BY7" s="643">
        <v>1520869120</v>
      </c>
      <c r="BZ7" s="643">
        <v>2069917440</v>
      </c>
      <c r="CA7" s="210">
        <v>11567692800</v>
      </c>
      <c r="CB7" s="210">
        <v>58827755520</v>
      </c>
      <c r="CC7" s="210">
        <v>2824658176</v>
      </c>
      <c r="CD7" s="210">
        <v>15405655040</v>
      </c>
      <c r="CE7" s="210">
        <v>-578428928</v>
      </c>
      <c r="CF7" s="210">
        <v>0</v>
      </c>
      <c r="CG7" s="639">
        <v>10189863936</v>
      </c>
      <c r="CH7" s="210">
        <v>3142932480</v>
      </c>
      <c r="CI7" s="210">
        <v>175885216</v>
      </c>
      <c r="CJ7" s="210">
        <v>1070070016</v>
      </c>
      <c r="CK7" s="210">
        <v>5800976896</v>
      </c>
      <c r="CL7" s="210">
        <v>393680</v>
      </c>
      <c r="CM7" s="210">
        <v>220275</v>
      </c>
      <c r="CN7" s="210">
        <v>26491265024</v>
      </c>
      <c r="CO7" s="210">
        <v>17178010624</v>
      </c>
      <c r="CP7" s="210">
        <v>1520869120</v>
      </c>
      <c r="CQ7" s="210">
        <v>2069917440</v>
      </c>
      <c r="CR7" s="210">
        <v>11567692800</v>
      </c>
      <c r="CS7" s="210">
        <v>58827755520</v>
      </c>
    </row>
    <row r="8" spans="1:97" x14ac:dyDescent="0.3">
      <c r="A8" s="210">
        <v>7</v>
      </c>
      <c r="B8" s="640">
        <v>0</v>
      </c>
      <c r="C8" s="640">
        <v>14597623</v>
      </c>
      <c r="D8" s="640">
        <v>100371736</v>
      </c>
      <c r="E8" s="640">
        <v>260615440</v>
      </c>
      <c r="F8" s="640">
        <v>727384</v>
      </c>
      <c r="G8" s="640">
        <v>46184100</v>
      </c>
      <c r="H8" s="640">
        <v>13475708928</v>
      </c>
      <c r="I8" s="640">
        <v>0</v>
      </c>
      <c r="J8" s="640">
        <v>5068450</v>
      </c>
      <c r="K8" s="640">
        <v>412139</v>
      </c>
      <c r="L8" s="640">
        <v>0</v>
      </c>
      <c r="M8" s="640">
        <v>22420</v>
      </c>
      <c r="N8" s="640">
        <v>137881104</v>
      </c>
      <c r="O8" s="640">
        <v>714033</v>
      </c>
      <c r="P8" s="640">
        <v>0</v>
      </c>
      <c r="Q8" s="641">
        <v>0</v>
      </c>
      <c r="R8" s="641">
        <v>0</v>
      </c>
      <c r="S8" s="641">
        <v>3354991</v>
      </c>
      <c r="T8" s="641">
        <v>69773264</v>
      </c>
      <c r="U8" s="641">
        <v>177463</v>
      </c>
      <c r="V8" s="641">
        <v>189139120</v>
      </c>
      <c r="W8" s="641">
        <v>13475708928</v>
      </c>
      <c r="X8" s="641">
        <v>75745192</v>
      </c>
      <c r="Y8" s="641">
        <v>204404544</v>
      </c>
      <c r="Z8" s="641">
        <v>949254</v>
      </c>
      <c r="AA8" s="641">
        <v>0</v>
      </c>
      <c r="AB8" s="641">
        <v>0</v>
      </c>
      <c r="AC8" s="641">
        <v>0</v>
      </c>
      <c r="AD8" s="641">
        <v>265423952</v>
      </c>
      <c r="AE8" s="641">
        <v>0</v>
      </c>
      <c r="AF8" s="642">
        <v>1628260992</v>
      </c>
      <c r="AG8" s="642">
        <v>120788424</v>
      </c>
      <c r="AH8" s="642">
        <v>913324416</v>
      </c>
      <c r="AI8" s="642">
        <v>910335168</v>
      </c>
      <c r="AJ8" s="642">
        <v>791323712</v>
      </c>
      <c r="AK8" s="642">
        <v>2818461952</v>
      </c>
      <c r="AL8" s="642">
        <v>4313874432</v>
      </c>
      <c r="AM8" s="642">
        <v>439784672</v>
      </c>
      <c r="AN8" s="642">
        <v>429354880</v>
      </c>
      <c r="AO8" s="642">
        <v>127860416</v>
      </c>
      <c r="AP8" s="642">
        <v>584398784</v>
      </c>
      <c r="AQ8" s="642">
        <v>604231040</v>
      </c>
      <c r="AR8" s="642">
        <v>506962080</v>
      </c>
      <c r="AS8" s="642">
        <v>1252813056</v>
      </c>
      <c r="AT8" s="642">
        <v>401456320</v>
      </c>
      <c r="AU8" s="210">
        <v>27195108</v>
      </c>
      <c r="AV8" s="210">
        <v>28123434</v>
      </c>
      <c r="AW8" s="210">
        <v>441273888</v>
      </c>
      <c r="AX8" s="210">
        <v>283076224</v>
      </c>
      <c r="AY8" s="210">
        <v>84625696</v>
      </c>
      <c r="AZ8" s="210">
        <v>1425340288</v>
      </c>
      <c r="BA8" s="210">
        <v>4313874432</v>
      </c>
      <c r="BB8" s="210">
        <v>13290982</v>
      </c>
      <c r="BC8" s="210">
        <v>0</v>
      </c>
      <c r="BD8" s="210">
        <v>456163456</v>
      </c>
      <c r="BE8" s="210">
        <v>0</v>
      </c>
      <c r="BF8" s="210">
        <v>0</v>
      </c>
      <c r="BG8" s="210">
        <v>0</v>
      </c>
      <c r="BH8" s="210">
        <v>1155831680</v>
      </c>
      <c r="BI8" s="210">
        <v>42756748</v>
      </c>
      <c r="BJ8" s="210">
        <v>13398298624</v>
      </c>
      <c r="BK8" s="210">
        <v>7276867072</v>
      </c>
      <c r="BL8" s="643">
        <v>1688494336</v>
      </c>
      <c r="BM8" s="643">
        <v>0</v>
      </c>
      <c r="BN8" s="643">
        <v>4432936960</v>
      </c>
      <c r="BO8" s="643">
        <v>0</v>
      </c>
      <c r="BP8" s="643">
        <v>6013124608</v>
      </c>
      <c r="BQ8" s="643">
        <v>1837750016</v>
      </c>
      <c r="BR8" s="643">
        <v>96578832</v>
      </c>
      <c r="BS8" s="643">
        <v>476099360</v>
      </c>
      <c r="BT8" s="643">
        <v>3602696192</v>
      </c>
      <c r="BU8" s="643">
        <v>161271</v>
      </c>
      <c r="BV8" s="643">
        <v>21245</v>
      </c>
      <c r="BW8" s="643">
        <v>14042303488</v>
      </c>
      <c r="BX8" s="643">
        <v>9044814848</v>
      </c>
      <c r="BY8" s="643">
        <v>437687552</v>
      </c>
      <c r="BZ8" s="643">
        <v>1077880320</v>
      </c>
      <c r="CA8" s="210">
        <v>4638838272</v>
      </c>
      <c r="CB8" s="210">
        <v>29241526272</v>
      </c>
      <c r="CC8" s="210">
        <v>1688494336</v>
      </c>
      <c r="CD8" s="210">
        <v>0</v>
      </c>
      <c r="CE8" s="210">
        <v>4432936960</v>
      </c>
      <c r="CF8" s="210">
        <v>0</v>
      </c>
      <c r="CG8" s="639">
        <v>6013124608</v>
      </c>
      <c r="CH8" s="210">
        <v>1837750016</v>
      </c>
      <c r="CI8" s="210">
        <v>96578832</v>
      </c>
      <c r="CJ8" s="210">
        <v>476099360</v>
      </c>
      <c r="CK8" s="210">
        <v>3602696192</v>
      </c>
      <c r="CL8" s="210">
        <v>161271</v>
      </c>
      <c r="CM8" s="210">
        <v>21245</v>
      </c>
      <c r="CN8" s="210">
        <v>14042303488</v>
      </c>
      <c r="CO8" s="210">
        <v>9044814848</v>
      </c>
      <c r="CP8" s="210">
        <v>437687552</v>
      </c>
      <c r="CQ8" s="210">
        <v>1077880320</v>
      </c>
      <c r="CR8" s="210">
        <v>4638838272</v>
      </c>
      <c r="CS8" s="210">
        <v>29241526272</v>
      </c>
    </row>
    <row r="9" spans="1:97" x14ac:dyDescent="0.3">
      <c r="A9" s="210">
        <v>8</v>
      </c>
      <c r="B9" s="640">
        <v>139551600</v>
      </c>
      <c r="C9" s="640">
        <v>32045062</v>
      </c>
      <c r="D9" s="640">
        <v>695896768</v>
      </c>
      <c r="E9" s="640">
        <v>252263360</v>
      </c>
      <c r="F9" s="640">
        <v>37110096</v>
      </c>
      <c r="G9" s="640">
        <v>73878056</v>
      </c>
      <c r="H9" s="640">
        <v>75745192</v>
      </c>
      <c r="I9" s="640">
        <v>22948540416</v>
      </c>
      <c r="J9" s="640">
        <v>23266942</v>
      </c>
      <c r="K9" s="640">
        <v>651516160</v>
      </c>
      <c r="L9" s="640">
        <v>2048160</v>
      </c>
      <c r="M9" s="640">
        <v>2046828</v>
      </c>
      <c r="N9" s="640">
        <v>0</v>
      </c>
      <c r="O9" s="640">
        <v>654537664</v>
      </c>
      <c r="P9" s="640">
        <v>2632457</v>
      </c>
      <c r="Q9" s="641">
        <v>0</v>
      </c>
      <c r="R9" s="641">
        <v>0</v>
      </c>
      <c r="S9" s="641">
        <v>0</v>
      </c>
      <c r="T9" s="641">
        <v>0</v>
      </c>
      <c r="U9" s="641">
        <v>0</v>
      </c>
      <c r="V9" s="641">
        <v>50477232</v>
      </c>
      <c r="W9" s="641">
        <v>0</v>
      </c>
      <c r="X9" s="641">
        <v>22948540416</v>
      </c>
      <c r="Y9" s="641">
        <v>28166068</v>
      </c>
      <c r="Z9" s="641">
        <v>862166</v>
      </c>
      <c r="AA9" s="641">
        <v>0</v>
      </c>
      <c r="AB9" s="641">
        <v>0</v>
      </c>
      <c r="AC9" s="641">
        <v>0</v>
      </c>
      <c r="AD9" s="641">
        <v>795420224</v>
      </c>
      <c r="AE9" s="641">
        <v>0</v>
      </c>
      <c r="AF9" s="642">
        <v>0</v>
      </c>
      <c r="AG9" s="642">
        <v>612973</v>
      </c>
      <c r="AH9" s="642">
        <v>139418560</v>
      </c>
      <c r="AI9" s="642">
        <v>8043272</v>
      </c>
      <c r="AJ9" s="642">
        <v>20982298</v>
      </c>
      <c r="AK9" s="642">
        <v>22381096</v>
      </c>
      <c r="AL9" s="642">
        <v>13290982</v>
      </c>
      <c r="AM9" s="642">
        <v>39100372</v>
      </c>
      <c r="AN9" s="642">
        <v>15939752</v>
      </c>
      <c r="AO9" s="642">
        <v>106995280</v>
      </c>
      <c r="AP9" s="642">
        <v>14007359</v>
      </c>
      <c r="AQ9" s="642">
        <v>3004855</v>
      </c>
      <c r="AR9" s="642">
        <v>340329792</v>
      </c>
      <c r="AS9" s="642">
        <v>217402064</v>
      </c>
      <c r="AT9" s="642">
        <v>90694224</v>
      </c>
      <c r="AU9" s="210">
        <v>30013382</v>
      </c>
      <c r="AV9" s="210">
        <v>0</v>
      </c>
      <c r="AW9" s="210">
        <v>1074452608</v>
      </c>
      <c r="AX9" s="210">
        <v>2739123</v>
      </c>
      <c r="AY9" s="210">
        <v>121863616</v>
      </c>
      <c r="AZ9" s="210">
        <v>8387492864</v>
      </c>
      <c r="BA9" s="210">
        <v>439784672</v>
      </c>
      <c r="BB9" s="210">
        <v>39100372</v>
      </c>
      <c r="BC9" s="210">
        <v>0</v>
      </c>
      <c r="BD9" s="210">
        <v>825050176</v>
      </c>
      <c r="BE9" s="210">
        <v>0</v>
      </c>
      <c r="BF9" s="210">
        <v>41009996</v>
      </c>
      <c r="BG9" s="210">
        <v>0</v>
      </c>
      <c r="BH9" s="210">
        <v>1377506688</v>
      </c>
      <c r="BI9" s="210">
        <v>88261856</v>
      </c>
      <c r="BJ9" s="210">
        <v>25595631616</v>
      </c>
      <c r="BK9" s="210">
        <v>202585440</v>
      </c>
      <c r="BL9" s="643"/>
      <c r="BM9" s="643">
        <v>24372275200</v>
      </c>
      <c r="BN9" s="643">
        <v>1020770304</v>
      </c>
      <c r="BO9" s="643">
        <v>0</v>
      </c>
      <c r="BP9" s="643">
        <v>11396190208</v>
      </c>
      <c r="BQ9" s="643">
        <v>3244311808</v>
      </c>
      <c r="BR9" s="643">
        <v>172655744</v>
      </c>
      <c r="BS9" s="643">
        <v>657189184</v>
      </c>
      <c r="BT9" s="643">
        <v>7322034176</v>
      </c>
      <c r="BU9" s="643">
        <v>367247</v>
      </c>
      <c r="BV9" s="643">
        <v>184795</v>
      </c>
      <c r="BW9" s="643">
        <v>25591076864</v>
      </c>
      <c r="BX9" s="643"/>
      <c r="BY9" s="643">
        <v>0</v>
      </c>
      <c r="BZ9" s="643">
        <v>1036756096</v>
      </c>
      <c r="CA9" s="210">
        <v>0</v>
      </c>
      <c r="CB9" s="210">
        <v>26627833856</v>
      </c>
      <c r="CD9" s="210">
        <v>24372275200</v>
      </c>
      <c r="CE9" s="210">
        <v>1020770304</v>
      </c>
      <c r="CF9" s="210">
        <v>0</v>
      </c>
      <c r="CG9" s="639">
        <v>11396190208</v>
      </c>
      <c r="CH9" s="210">
        <v>3244311808</v>
      </c>
      <c r="CI9" s="210">
        <v>172655744</v>
      </c>
      <c r="CJ9" s="210">
        <v>657189184</v>
      </c>
      <c r="CK9" s="210">
        <v>7322034176</v>
      </c>
      <c r="CL9" s="210">
        <v>367247</v>
      </c>
      <c r="CM9" s="210">
        <v>184795</v>
      </c>
      <c r="CN9" s="210">
        <v>25591076864</v>
      </c>
      <c r="CP9" s="210">
        <v>0</v>
      </c>
      <c r="CQ9" s="210">
        <v>1036756096</v>
      </c>
      <c r="CR9" s="210">
        <v>0</v>
      </c>
      <c r="CS9" s="210">
        <v>26627833856</v>
      </c>
    </row>
    <row r="10" spans="1:97" x14ac:dyDescent="0.3">
      <c r="A10" s="210">
        <v>9</v>
      </c>
      <c r="B10" s="640">
        <v>1300827</v>
      </c>
      <c r="C10" s="640">
        <v>1261366</v>
      </c>
      <c r="D10" s="640">
        <v>245482544</v>
      </c>
      <c r="E10" s="640">
        <v>148594000</v>
      </c>
      <c r="F10" s="640">
        <v>80651400</v>
      </c>
      <c r="G10" s="640">
        <v>263150208</v>
      </c>
      <c r="H10" s="640">
        <v>204404544</v>
      </c>
      <c r="I10" s="640">
        <v>28166068</v>
      </c>
      <c r="J10" s="640">
        <v>46083428352</v>
      </c>
      <c r="K10" s="640">
        <v>21650290</v>
      </c>
      <c r="L10" s="640">
        <v>88619312</v>
      </c>
      <c r="M10" s="640">
        <v>7153783</v>
      </c>
      <c r="N10" s="640">
        <v>0</v>
      </c>
      <c r="O10" s="640">
        <v>253850032</v>
      </c>
      <c r="P10" s="640">
        <v>1295616</v>
      </c>
      <c r="Q10" s="641">
        <v>0</v>
      </c>
      <c r="R10" s="641">
        <v>0</v>
      </c>
      <c r="S10" s="641">
        <v>0</v>
      </c>
      <c r="T10" s="641">
        <v>0</v>
      </c>
      <c r="U10" s="641">
        <v>0</v>
      </c>
      <c r="V10" s="641">
        <v>61062576</v>
      </c>
      <c r="W10" s="641">
        <v>5068450</v>
      </c>
      <c r="X10" s="641">
        <v>23266942</v>
      </c>
      <c r="Y10" s="641">
        <v>46083428352</v>
      </c>
      <c r="Z10" s="641">
        <v>2284911</v>
      </c>
      <c r="AA10" s="641">
        <v>0</v>
      </c>
      <c r="AB10" s="641">
        <v>0</v>
      </c>
      <c r="AC10" s="641">
        <v>0</v>
      </c>
      <c r="AD10" s="641">
        <v>139589392</v>
      </c>
      <c r="AE10" s="641">
        <v>13081495</v>
      </c>
      <c r="AF10" s="642">
        <v>0</v>
      </c>
      <c r="AG10" s="642">
        <v>0</v>
      </c>
      <c r="AH10" s="642">
        <v>0</v>
      </c>
      <c r="AI10" s="642">
        <v>0</v>
      </c>
      <c r="AJ10" s="642">
        <v>0</v>
      </c>
      <c r="AK10" s="642">
        <v>0</v>
      </c>
      <c r="AL10" s="642">
        <v>0</v>
      </c>
      <c r="AM10" s="642">
        <v>0</v>
      </c>
      <c r="AN10" s="642">
        <v>0</v>
      </c>
      <c r="AO10" s="642">
        <v>0</v>
      </c>
      <c r="AP10" s="642">
        <v>0</v>
      </c>
      <c r="AQ10" s="642">
        <v>0</v>
      </c>
      <c r="AR10" s="642">
        <v>0</v>
      </c>
      <c r="AS10" s="642">
        <v>0</v>
      </c>
      <c r="AT10" s="642">
        <v>0</v>
      </c>
      <c r="AU10" s="210">
        <v>2419652</v>
      </c>
      <c r="AV10" s="210">
        <v>10498</v>
      </c>
      <c r="AW10" s="210">
        <v>234422448</v>
      </c>
      <c r="AX10" s="210">
        <v>67745752</v>
      </c>
      <c r="AY10" s="210">
        <v>80718896</v>
      </c>
      <c r="AZ10" s="210">
        <v>746430016</v>
      </c>
      <c r="BA10" s="210">
        <v>429354880</v>
      </c>
      <c r="BB10" s="210">
        <v>15939752</v>
      </c>
      <c r="BC10" s="210">
        <v>0</v>
      </c>
      <c r="BD10" s="210">
        <v>6480804864</v>
      </c>
      <c r="BE10" s="210">
        <v>0</v>
      </c>
      <c r="BF10" s="210">
        <v>15465498</v>
      </c>
      <c r="BG10" s="210">
        <v>0</v>
      </c>
      <c r="BH10" s="210">
        <v>4395428352</v>
      </c>
      <c r="BI10" s="210">
        <v>94846600</v>
      </c>
      <c r="BJ10" s="210">
        <v>0</v>
      </c>
      <c r="BK10" s="210">
        <v>0</v>
      </c>
      <c r="BL10" s="643">
        <v>0</v>
      </c>
      <c r="BM10" s="643">
        <v>0</v>
      </c>
      <c r="BN10" s="643">
        <v>0</v>
      </c>
      <c r="BO10" s="643">
        <v>0</v>
      </c>
      <c r="BP10" s="643">
        <v>33764194304</v>
      </c>
      <c r="BQ10" s="643">
        <v>5239189504</v>
      </c>
      <c r="BR10" s="643">
        <v>295419616</v>
      </c>
      <c r="BS10" s="643">
        <v>441065632</v>
      </c>
      <c r="BT10" s="643">
        <v>27788519424</v>
      </c>
      <c r="BU10" s="643">
        <v>624475</v>
      </c>
      <c r="BV10" s="643">
        <v>1932676</v>
      </c>
      <c r="BW10" s="643">
        <v>0</v>
      </c>
      <c r="BX10" s="643">
        <v>0</v>
      </c>
      <c r="BY10" s="643">
        <v>0</v>
      </c>
      <c r="BZ10" s="643">
        <v>0</v>
      </c>
      <c r="CA10" s="210">
        <v>0</v>
      </c>
      <c r="CB10" s="210">
        <v>0</v>
      </c>
      <c r="CC10" s="210">
        <v>0</v>
      </c>
      <c r="CD10" s="210">
        <v>0</v>
      </c>
      <c r="CE10" s="210">
        <v>0</v>
      </c>
      <c r="CF10" s="210">
        <v>0</v>
      </c>
      <c r="CG10" s="639">
        <v>33764194304</v>
      </c>
      <c r="CH10" s="210">
        <v>5239189504</v>
      </c>
      <c r="CI10" s="210">
        <v>295419616</v>
      </c>
      <c r="CJ10" s="210">
        <v>441065632</v>
      </c>
      <c r="CK10" s="210">
        <v>27788519424</v>
      </c>
      <c r="CL10" s="210">
        <v>624475</v>
      </c>
      <c r="CM10" s="210">
        <v>1932676</v>
      </c>
      <c r="CN10" s="210">
        <v>0</v>
      </c>
      <c r="CO10" s="210">
        <v>0</v>
      </c>
      <c r="CP10" s="210">
        <v>0</v>
      </c>
      <c r="CQ10" s="210">
        <v>0</v>
      </c>
      <c r="CR10" s="210">
        <v>0</v>
      </c>
      <c r="CS10" s="210">
        <v>0</v>
      </c>
    </row>
    <row r="11" spans="1:97" x14ac:dyDescent="0.3">
      <c r="A11" s="210">
        <v>10</v>
      </c>
      <c r="B11" s="640">
        <v>0</v>
      </c>
      <c r="C11" s="640">
        <v>12947500</v>
      </c>
      <c r="D11" s="640">
        <v>14476542</v>
      </c>
      <c r="E11" s="640">
        <v>0</v>
      </c>
      <c r="F11" s="640">
        <v>0</v>
      </c>
      <c r="G11" s="640">
        <v>2605270</v>
      </c>
      <c r="H11" s="640">
        <v>949254</v>
      </c>
      <c r="I11" s="640">
        <v>862166</v>
      </c>
      <c r="J11" s="640">
        <v>2284911</v>
      </c>
      <c r="K11" s="640">
        <v>33489661952</v>
      </c>
      <c r="L11" s="640">
        <v>0</v>
      </c>
      <c r="M11" s="640">
        <v>0</v>
      </c>
      <c r="N11" s="640">
        <v>46985360</v>
      </c>
      <c r="O11" s="640">
        <v>159845</v>
      </c>
      <c r="P11" s="640">
        <v>9800634</v>
      </c>
      <c r="Q11" s="641">
        <v>0</v>
      </c>
      <c r="R11" s="641">
        <v>0</v>
      </c>
      <c r="S11" s="641">
        <v>0</v>
      </c>
      <c r="T11" s="641">
        <v>0</v>
      </c>
      <c r="U11" s="641">
        <v>0</v>
      </c>
      <c r="V11" s="641">
        <v>2889697</v>
      </c>
      <c r="W11" s="641">
        <v>412139</v>
      </c>
      <c r="X11" s="641">
        <v>651516160</v>
      </c>
      <c r="Y11" s="641">
        <v>21650290</v>
      </c>
      <c r="Z11" s="641">
        <v>33489661952</v>
      </c>
      <c r="AA11" s="641">
        <v>0</v>
      </c>
      <c r="AB11" s="641">
        <v>0</v>
      </c>
      <c r="AC11" s="641">
        <v>0</v>
      </c>
      <c r="AD11" s="641">
        <v>67781800</v>
      </c>
      <c r="AE11" s="641">
        <v>33440</v>
      </c>
      <c r="AF11" s="642">
        <v>304317504</v>
      </c>
      <c r="AG11" s="642">
        <v>256406576</v>
      </c>
      <c r="AH11" s="642">
        <v>2474680576</v>
      </c>
      <c r="AI11" s="642">
        <v>1437746816</v>
      </c>
      <c r="AJ11" s="642">
        <v>638096064</v>
      </c>
      <c r="AK11" s="642">
        <v>1055292672</v>
      </c>
      <c r="AL11" s="642">
        <v>456163456</v>
      </c>
      <c r="AM11" s="642">
        <v>825050176</v>
      </c>
      <c r="AN11" s="642">
        <v>6480804864</v>
      </c>
      <c r="AO11" s="642">
        <v>2461726208</v>
      </c>
      <c r="AP11" s="642">
        <v>107161184</v>
      </c>
      <c r="AQ11" s="642">
        <v>212755872</v>
      </c>
      <c r="AR11" s="642">
        <v>716754560</v>
      </c>
      <c r="AS11" s="642">
        <v>1519395200</v>
      </c>
      <c r="AT11" s="642">
        <v>727837952</v>
      </c>
      <c r="AU11" s="210">
        <v>0</v>
      </c>
      <c r="AV11" s="210">
        <v>0</v>
      </c>
      <c r="AW11" s="210">
        <v>3849852160</v>
      </c>
      <c r="AX11" s="210">
        <v>38818</v>
      </c>
      <c r="AY11" s="210">
        <v>59629600</v>
      </c>
      <c r="AZ11" s="210">
        <v>2580300800</v>
      </c>
      <c r="BA11" s="210">
        <v>127860416</v>
      </c>
      <c r="BB11" s="210">
        <v>106995280</v>
      </c>
      <c r="BC11" s="210">
        <v>0</v>
      </c>
      <c r="BD11" s="210">
        <v>2461726208</v>
      </c>
      <c r="BE11" s="210">
        <v>0</v>
      </c>
      <c r="BF11" s="210">
        <v>6271478</v>
      </c>
      <c r="BG11" s="210">
        <v>0</v>
      </c>
      <c r="BH11" s="210">
        <v>6111518720</v>
      </c>
      <c r="BI11" s="210">
        <v>529295360</v>
      </c>
      <c r="BJ11" s="210">
        <v>14401537024</v>
      </c>
      <c r="BK11" s="210">
        <v>11645256704</v>
      </c>
      <c r="BL11" s="643"/>
      <c r="BM11" s="643">
        <v>0</v>
      </c>
      <c r="BN11" s="643">
        <v>2756280320</v>
      </c>
      <c r="BO11" s="643">
        <v>0</v>
      </c>
      <c r="BP11" s="643">
        <v>18400458752</v>
      </c>
      <c r="BQ11" s="643">
        <v>4562599936</v>
      </c>
      <c r="BR11" s="643">
        <v>150767312</v>
      </c>
      <c r="BS11" s="643">
        <v>2874657024</v>
      </c>
      <c r="BT11" s="643">
        <v>10812434432</v>
      </c>
      <c r="BU11" s="643">
        <v>515708</v>
      </c>
      <c r="BV11" s="643">
        <v>504627</v>
      </c>
      <c r="BW11" s="643">
        <v>33580732416</v>
      </c>
      <c r="BX11" s="643"/>
      <c r="BY11" s="643">
        <v>0</v>
      </c>
      <c r="BZ11" s="643">
        <v>494993440</v>
      </c>
      <c r="CA11" s="210">
        <v>0</v>
      </c>
      <c r="CB11" s="210">
        <v>34075725824</v>
      </c>
      <c r="CD11" s="210">
        <v>0</v>
      </c>
      <c r="CE11" s="210">
        <v>2756280320</v>
      </c>
      <c r="CF11" s="210">
        <v>0</v>
      </c>
      <c r="CG11" s="639">
        <v>18400458752</v>
      </c>
      <c r="CH11" s="210">
        <v>4562599936</v>
      </c>
      <c r="CI11" s="210">
        <v>150767312</v>
      </c>
      <c r="CJ11" s="210">
        <v>2874657024</v>
      </c>
      <c r="CK11" s="210">
        <v>10812434432</v>
      </c>
      <c r="CL11" s="210">
        <v>515708</v>
      </c>
      <c r="CM11" s="210">
        <v>504627</v>
      </c>
      <c r="CN11" s="210">
        <v>33580732416</v>
      </c>
      <c r="CP11" s="210">
        <v>0</v>
      </c>
      <c r="CQ11" s="210">
        <v>494993440</v>
      </c>
      <c r="CR11" s="210">
        <v>0</v>
      </c>
      <c r="CS11" s="210">
        <v>34075725824</v>
      </c>
    </row>
    <row r="12" spans="1:97" x14ac:dyDescent="0.3">
      <c r="A12" s="210">
        <v>11</v>
      </c>
      <c r="B12" s="640">
        <v>0</v>
      </c>
      <c r="C12" s="640">
        <v>0</v>
      </c>
      <c r="D12" s="640">
        <v>85282168</v>
      </c>
      <c r="E12" s="640">
        <v>0</v>
      </c>
      <c r="F12" s="640">
        <v>0</v>
      </c>
      <c r="G12" s="640">
        <v>0</v>
      </c>
      <c r="H12" s="640">
        <v>0</v>
      </c>
      <c r="I12" s="640">
        <v>0</v>
      </c>
      <c r="J12" s="640">
        <v>0</v>
      </c>
      <c r="K12" s="640">
        <v>0</v>
      </c>
      <c r="L12" s="640">
        <v>6372560896</v>
      </c>
      <c r="M12" s="640">
        <v>0</v>
      </c>
      <c r="N12" s="640">
        <v>0</v>
      </c>
      <c r="O12" s="640">
        <v>0</v>
      </c>
      <c r="P12" s="640">
        <v>0</v>
      </c>
      <c r="Q12" s="641">
        <v>0</v>
      </c>
      <c r="R12" s="641">
        <v>0</v>
      </c>
      <c r="S12" s="641">
        <v>0</v>
      </c>
      <c r="T12" s="641">
        <v>0</v>
      </c>
      <c r="U12" s="641">
        <v>0</v>
      </c>
      <c r="V12" s="641">
        <v>0</v>
      </c>
      <c r="W12" s="641">
        <v>0</v>
      </c>
      <c r="X12" s="641">
        <v>2048160</v>
      </c>
      <c r="Y12" s="641">
        <v>88619312</v>
      </c>
      <c r="Z12" s="641">
        <v>0</v>
      </c>
      <c r="AA12" s="641">
        <v>6372560896</v>
      </c>
      <c r="AB12" s="641">
        <v>0</v>
      </c>
      <c r="AC12" s="641">
        <v>0</v>
      </c>
      <c r="AD12" s="641">
        <v>1388056</v>
      </c>
      <c r="AE12" s="641">
        <v>0</v>
      </c>
      <c r="AF12" s="642">
        <v>0</v>
      </c>
      <c r="AG12" s="642">
        <v>0</v>
      </c>
      <c r="AH12" s="642">
        <v>0</v>
      </c>
      <c r="AI12" s="642">
        <v>0</v>
      </c>
      <c r="AJ12" s="642">
        <v>0</v>
      </c>
      <c r="AK12" s="642">
        <v>0</v>
      </c>
      <c r="AL12" s="642">
        <v>0</v>
      </c>
      <c r="AM12" s="642">
        <v>0</v>
      </c>
      <c r="AN12" s="642">
        <v>0</v>
      </c>
      <c r="AO12" s="642">
        <v>0</v>
      </c>
      <c r="AP12" s="642">
        <v>13646836</v>
      </c>
      <c r="AQ12" s="642">
        <v>0</v>
      </c>
      <c r="AR12" s="642">
        <v>0</v>
      </c>
      <c r="AS12" s="642">
        <v>0</v>
      </c>
      <c r="AT12" s="642">
        <v>0</v>
      </c>
      <c r="AU12" s="210">
        <v>7840614</v>
      </c>
      <c r="AV12" s="210">
        <v>966913</v>
      </c>
      <c r="AW12" s="210">
        <v>21771412</v>
      </c>
      <c r="AX12" s="210">
        <v>14169265</v>
      </c>
      <c r="AY12" s="210">
        <v>310868256</v>
      </c>
      <c r="AZ12" s="210">
        <v>291407840</v>
      </c>
      <c r="BA12" s="210">
        <v>584398784</v>
      </c>
      <c r="BB12" s="210">
        <v>14007359</v>
      </c>
      <c r="BC12" s="210">
        <v>0</v>
      </c>
      <c r="BD12" s="210">
        <v>107161184</v>
      </c>
      <c r="BE12" s="210">
        <v>13646836</v>
      </c>
      <c r="BF12" s="210">
        <v>3681200</v>
      </c>
      <c r="BG12" s="210">
        <v>0</v>
      </c>
      <c r="BH12" s="210">
        <v>1231432448</v>
      </c>
      <c r="BI12" s="210">
        <v>11602153</v>
      </c>
      <c r="BJ12" s="210">
        <v>6444196352</v>
      </c>
      <c r="BK12" s="210">
        <v>5575335424</v>
      </c>
      <c r="BL12" s="643"/>
      <c r="BM12" s="643">
        <v>0</v>
      </c>
      <c r="BN12" s="643">
        <v>868860928</v>
      </c>
      <c r="BO12" s="643">
        <v>0</v>
      </c>
      <c r="BP12" s="643">
        <v>3851662336</v>
      </c>
      <c r="BQ12" s="643">
        <v>1656378752</v>
      </c>
      <c r="BR12" s="643">
        <v>18627248</v>
      </c>
      <c r="BS12" s="643">
        <v>378698880</v>
      </c>
      <c r="BT12" s="643">
        <v>1797957632</v>
      </c>
      <c r="BU12" s="643">
        <v>79179</v>
      </c>
      <c r="BV12" s="643">
        <v>44393</v>
      </c>
      <c r="BW12" s="643">
        <v>6457843200</v>
      </c>
      <c r="BX12" s="643"/>
      <c r="BY12" s="643">
        <v>0</v>
      </c>
      <c r="BZ12" s="643">
        <v>0</v>
      </c>
      <c r="CA12" s="210">
        <v>0</v>
      </c>
      <c r="CB12" s="210">
        <v>6457843200</v>
      </c>
      <c r="CD12" s="210">
        <v>0</v>
      </c>
      <c r="CE12" s="210">
        <v>868860928</v>
      </c>
      <c r="CF12" s="210">
        <v>0</v>
      </c>
      <c r="CG12" s="639">
        <v>3851662336</v>
      </c>
      <c r="CH12" s="210">
        <v>1656378752</v>
      </c>
      <c r="CI12" s="210">
        <v>18627248</v>
      </c>
      <c r="CJ12" s="210">
        <v>378698880</v>
      </c>
      <c r="CK12" s="210">
        <v>1797957632</v>
      </c>
      <c r="CL12" s="210">
        <v>79179</v>
      </c>
      <c r="CM12" s="210">
        <v>44393</v>
      </c>
      <c r="CN12" s="210">
        <v>6457843200</v>
      </c>
      <c r="CP12" s="210">
        <v>0</v>
      </c>
      <c r="CQ12" s="210">
        <v>0</v>
      </c>
      <c r="CR12" s="210">
        <v>0</v>
      </c>
      <c r="CS12" s="210">
        <v>6457843200</v>
      </c>
    </row>
    <row r="13" spans="1:97" x14ac:dyDescent="0.3">
      <c r="A13" s="210">
        <v>12</v>
      </c>
      <c r="B13" s="640">
        <v>0</v>
      </c>
      <c r="C13" s="640">
        <v>0</v>
      </c>
      <c r="D13" s="640">
        <v>79289824</v>
      </c>
      <c r="E13" s="640">
        <v>0</v>
      </c>
      <c r="F13" s="640">
        <v>0</v>
      </c>
      <c r="G13" s="640">
        <v>49064</v>
      </c>
      <c r="H13" s="640">
        <v>0</v>
      </c>
      <c r="I13" s="640">
        <v>0</v>
      </c>
      <c r="J13" s="640">
        <v>0</v>
      </c>
      <c r="K13" s="640">
        <v>0</v>
      </c>
      <c r="L13" s="640">
        <v>0</v>
      </c>
      <c r="M13" s="640">
        <v>10293334016</v>
      </c>
      <c r="N13" s="640">
        <v>0</v>
      </c>
      <c r="O13" s="640">
        <v>0</v>
      </c>
      <c r="P13" s="640">
        <v>0</v>
      </c>
      <c r="Q13" s="641">
        <v>0</v>
      </c>
      <c r="R13" s="641">
        <v>0</v>
      </c>
      <c r="S13" s="641">
        <v>0</v>
      </c>
      <c r="T13" s="641">
        <v>0</v>
      </c>
      <c r="U13" s="641">
        <v>0</v>
      </c>
      <c r="V13" s="641">
        <v>0</v>
      </c>
      <c r="W13" s="641">
        <v>22420</v>
      </c>
      <c r="X13" s="641">
        <v>2046828</v>
      </c>
      <c r="Y13" s="641">
        <v>7153783</v>
      </c>
      <c r="Z13" s="641">
        <v>0</v>
      </c>
      <c r="AA13" s="641">
        <v>0</v>
      </c>
      <c r="AB13" s="641">
        <v>10293334016</v>
      </c>
      <c r="AC13" s="641">
        <v>0</v>
      </c>
      <c r="AD13" s="641">
        <v>400282</v>
      </c>
      <c r="AE13" s="641">
        <v>0</v>
      </c>
      <c r="AF13" s="642">
        <v>0</v>
      </c>
      <c r="AG13" s="642">
        <v>1456796</v>
      </c>
      <c r="AH13" s="642">
        <v>18620580</v>
      </c>
      <c r="AI13" s="642">
        <v>6257316</v>
      </c>
      <c r="AJ13" s="642">
        <v>35581928</v>
      </c>
      <c r="AK13" s="642">
        <v>54472204</v>
      </c>
      <c r="AL13" s="642">
        <v>0</v>
      </c>
      <c r="AM13" s="642">
        <v>41009996</v>
      </c>
      <c r="AN13" s="642">
        <v>15465498</v>
      </c>
      <c r="AO13" s="642">
        <v>6271478</v>
      </c>
      <c r="AP13" s="642">
        <v>3681200</v>
      </c>
      <c r="AQ13" s="642">
        <v>74590904</v>
      </c>
      <c r="AR13" s="642">
        <v>28056364</v>
      </c>
      <c r="AS13" s="642">
        <v>398105280</v>
      </c>
      <c r="AT13" s="642">
        <v>3281599</v>
      </c>
      <c r="AU13" s="210">
        <v>0</v>
      </c>
      <c r="AV13" s="210">
        <v>0</v>
      </c>
      <c r="AW13" s="210">
        <v>120223400</v>
      </c>
      <c r="AX13" s="210">
        <v>0</v>
      </c>
      <c r="AY13" s="210">
        <v>6611835</v>
      </c>
      <c r="AZ13" s="210">
        <v>639206336</v>
      </c>
      <c r="BA13" s="210">
        <v>604231040</v>
      </c>
      <c r="BB13" s="210">
        <v>3004855</v>
      </c>
      <c r="BC13" s="210">
        <v>0</v>
      </c>
      <c r="BD13" s="210">
        <v>212755872</v>
      </c>
      <c r="BE13" s="210">
        <v>0</v>
      </c>
      <c r="BF13" s="210">
        <v>74590904</v>
      </c>
      <c r="BG13" s="210">
        <v>0</v>
      </c>
      <c r="BH13" s="210">
        <v>1068868224</v>
      </c>
      <c r="BI13" s="210">
        <v>1094160</v>
      </c>
      <c r="BJ13" s="210">
        <v>9781465088</v>
      </c>
      <c r="BK13" s="210">
        <v>10498715648</v>
      </c>
      <c r="BL13" s="643"/>
      <c r="BM13" s="643">
        <v>0</v>
      </c>
      <c r="BN13" s="643">
        <v>-717250560</v>
      </c>
      <c r="BO13" s="643">
        <v>0</v>
      </c>
      <c r="BP13" s="643">
        <v>7572370944</v>
      </c>
      <c r="BQ13" s="643">
        <v>1620386048</v>
      </c>
      <c r="BR13" s="643">
        <v>43650728</v>
      </c>
      <c r="BS13" s="643">
        <v>195088736</v>
      </c>
      <c r="BT13" s="643">
        <v>5713245696</v>
      </c>
      <c r="BU13" s="643">
        <v>208329</v>
      </c>
      <c r="BV13" s="643">
        <v>38534</v>
      </c>
      <c r="BW13" s="643">
        <v>10372672512</v>
      </c>
      <c r="BX13" s="643"/>
      <c r="BY13" s="643">
        <v>0</v>
      </c>
      <c r="BZ13" s="643">
        <v>95643960</v>
      </c>
      <c r="CA13" s="210">
        <v>0</v>
      </c>
      <c r="CB13" s="210">
        <v>10468316160</v>
      </c>
      <c r="CD13" s="210">
        <v>0</v>
      </c>
      <c r="CE13" s="210">
        <v>-717250560</v>
      </c>
      <c r="CF13" s="210">
        <v>0</v>
      </c>
      <c r="CG13" s="639">
        <v>7572370944</v>
      </c>
      <c r="CH13" s="210">
        <v>1620386048</v>
      </c>
      <c r="CI13" s="210">
        <v>43650728</v>
      </c>
      <c r="CJ13" s="210">
        <v>195088736</v>
      </c>
      <c r="CK13" s="210">
        <v>5713245696</v>
      </c>
      <c r="CL13" s="210">
        <v>208329</v>
      </c>
      <c r="CM13" s="210">
        <v>38534</v>
      </c>
      <c r="CN13" s="210">
        <v>10372672512</v>
      </c>
      <c r="CP13" s="210">
        <v>0</v>
      </c>
      <c r="CQ13" s="210">
        <v>95643960</v>
      </c>
      <c r="CR13" s="210">
        <v>0</v>
      </c>
      <c r="CS13" s="210">
        <v>10468316160</v>
      </c>
    </row>
    <row r="14" spans="1:97" x14ac:dyDescent="0.3">
      <c r="A14" s="210">
        <v>13</v>
      </c>
      <c r="B14" s="640">
        <v>0</v>
      </c>
      <c r="C14" s="640">
        <v>0</v>
      </c>
      <c r="D14" s="640">
        <v>0</v>
      </c>
      <c r="E14" s="640">
        <v>0</v>
      </c>
      <c r="F14" s="640">
        <v>0</v>
      </c>
      <c r="G14" s="640">
        <v>0</v>
      </c>
      <c r="H14" s="640">
        <v>0</v>
      </c>
      <c r="I14" s="640">
        <v>0</v>
      </c>
      <c r="J14" s="640">
        <v>0</v>
      </c>
      <c r="K14" s="640">
        <v>0</v>
      </c>
      <c r="L14" s="640">
        <v>0</v>
      </c>
      <c r="M14" s="640">
        <v>0</v>
      </c>
      <c r="N14" s="640">
        <v>20681877504</v>
      </c>
      <c r="O14" s="640">
        <v>0</v>
      </c>
      <c r="P14" s="640">
        <v>0</v>
      </c>
      <c r="Q14" s="641">
        <v>27627854</v>
      </c>
      <c r="R14" s="641">
        <v>589439</v>
      </c>
      <c r="S14" s="641">
        <v>13406625</v>
      </c>
      <c r="T14" s="641">
        <v>9590375</v>
      </c>
      <c r="U14" s="641">
        <v>5008599</v>
      </c>
      <c r="V14" s="641">
        <v>1494995</v>
      </c>
      <c r="W14" s="641">
        <v>137881104</v>
      </c>
      <c r="X14" s="641">
        <v>0</v>
      </c>
      <c r="Y14" s="641">
        <v>0</v>
      </c>
      <c r="Z14" s="641">
        <v>46985360</v>
      </c>
      <c r="AA14" s="641">
        <v>0</v>
      </c>
      <c r="AB14" s="641">
        <v>0</v>
      </c>
      <c r="AC14" s="641">
        <v>20681877504</v>
      </c>
      <c r="AD14" s="641">
        <v>97409272</v>
      </c>
      <c r="AE14" s="641">
        <v>94709296</v>
      </c>
      <c r="AF14" s="642">
        <v>0</v>
      </c>
      <c r="AG14" s="642">
        <v>0</v>
      </c>
      <c r="AH14" s="642">
        <v>0</v>
      </c>
      <c r="AI14" s="642">
        <v>0</v>
      </c>
      <c r="AJ14" s="642">
        <v>0</v>
      </c>
      <c r="AK14" s="642">
        <v>0</v>
      </c>
      <c r="AL14" s="642">
        <v>0</v>
      </c>
      <c r="AM14" s="642">
        <v>0</v>
      </c>
      <c r="AN14" s="642">
        <v>0</v>
      </c>
      <c r="AO14" s="642">
        <v>0</v>
      </c>
      <c r="AP14" s="642">
        <v>0</v>
      </c>
      <c r="AQ14" s="642">
        <v>0</v>
      </c>
      <c r="AR14" s="642">
        <v>0</v>
      </c>
      <c r="AS14" s="642">
        <v>0</v>
      </c>
      <c r="AT14" s="642">
        <v>0</v>
      </c>
      <c r="AU14" s="210">
        <v>245765296</v>
      </c>
      <c r="AV14" s="210">
        <v>29352268</v>
      </c>
      <c r="AW14" s="210">
        <v>445670048</v>
      </c>
      <c r="AX14" s="210">
        <v>369843072</v>
      </c>
      <c r="AY14" s="210">
        <v>492563840</v>
      </c>
      <c r="AZ14" s="210">
        <v>985517376</v>
      </c>
      <c r="BA14" s="210">
        <v>506962080</v>
      </c>
      <c r="BB14" s="210">
        <v>340329792</v>
      </c>
      <c r="BC14" s="210">
        <v>0</v>
      </c>
      <c r="BD14" s="210">
        <v>716754560</v>
      </c>
      <c r="BE14" s="210">
        <v>0</v>
      </c>
      <c r="BF14" s="210">
        <v>28056364</v>
      </c>
      <c r="BG14" s="210">
        <v>0</v>
      </c>
      <c r="BH14" s="210">
        <v>2186349312</v>
      </c>
      <c r="BI14" s="210">
        <v>398848256</v>
      </c>
      <c r="BJ14" s="210">
        <v>20681877504</v>
      </c>
      <c r="BK14" s="210">
        <v>694668800</v>
      </c>
      <c r="BL14" s="643"/>
      <c r="BM14" s="643">
        <v>0</v>
      </c>
      <c r="BN14" s="643">
        <v>-3076442112</v>
      </c>
      <c r="BO14" s="643">
        <v>23063650304</v>
      </c>
      <c r="BP14" s="643">
        <v>14370565120</v>
      </c>
      <c r="BQ14" s="643">
        <v>13286591488</v>
      </c>
      <c r="BR14" s="643">
        <v>364298944</v>
      </c>
      <c r="BS14" s="643">
        <v>719674496</v>
      </c>
      <c r="BT14" s="643">
        <v>0</v>
      </c>
      <c r="BU14" s="643">
        <v>1660531</v>
      </c>
      <c r="BV14" s="643">
        <v>0</v>
      </c>
      <c r="BW14" s="643">
        <v>20681877504</v>
      </c>
      <c r="BX14" s="643"/>
      <c r="BY14" s="643">
        <v>0</v>
      </c>
      <c r="BZ14" s="643">
        <v>0</v>
      </c>
      <c r="CA14" s="210">
        <v>0</v>
      </c>
      <c r="CB14" s="210">
        <v>20681877504</v>
      </c>
      <c r="CD14" s="210">
        <v>0</v>
      </c>
      <c r="CE14" s="210">
        <v>-3076442112</v>
      </c>
      <c r="CF14" s="210">
        <v>23063650304</v>
      </c>
      <c r="CG14" s="639">
        <v>14370565120</v>
      </c>
      <c r="CH14" s="210">
        <v>13286591488</v>
      </c>
      <c r="CI14" s="210">
        <v>364298944</v>
      </c>
      <c r="CJ14" s="210">
        <v>719674496</v>
      </c>
      <c r="CK14" s="210">
        <v>0</v>
      </c>
      <c r="CL14" s="210">
        <v>1660531</v>
      </c>
      <c r="CM14" s="210">
        <v>0</v>
      </c>
      <c r="CN14" s="210">
        <v>20681877504</v>
      </c>
      <c r="CP14" s="210">
        <v>0</v>
      </c>
      <c r="CQ14" s="210">
        <v>0</v>
      </c>
      <c r="CR14" s="210">
        <v>0</v>
      </c>
      <c r="CS14" s="210">
        <v>20681877504</v>
      </c>
    </row>
    <row r="15" spans="1:97" x14ac:dyDescent="0.3">
      <c r="A15" s="210">
        <v>14</v>
      </c>
      <c r="B15" s="640">
        <v>0</v>
      </c>
      <c r="C15" s="640">
        <v>171389296</v>
      </c>
      <c r="D15" s="640">
        <v>519541600</v>
      </c>
      <c r="E15" s="640">
        <v>372801216</v>
      </c>
      <c r="F15" s="640">
        <v>179506496</v>
      </c>
      <c r="G15" s="640">
        <v>147773344</v>
      </c>
      <c r="H15" s="640">
        <v>265423952</v>
      </c>
      <c r="I15" s="640">
        <v>795420224</v>
      </c>
      <c r="J15" s="640">
        <v>139589392</v>
      </c>
      <c r="K15" s="640">
        <v>67781800</v>
      </c>
      <c r="L15" s="640">
        <v>1388056</v>
      </c>
      <c r="M15" s="640">
        <v>400282</v>
      </c>
      <c r="N15" s="640">
        <v>97409272</v>
      </c>
      <c r="O15" s="640">
        <v>51814580224</v>
      </c>
      <c r="P15" s="640">
        <v>22902290</v>
      </c>
      <c r="Q15" s="641">
        <v>0</v>
      </c>
      <c r="R15" s="641">
        <v>0</v>
      </c>
      <c r="S15" s="641">
        <v>0</v>
      </c>
      <c r="T15" s="641">
        <v>3356845</v>
      </c>
      <c r="U15" s="641">
        <v>0</v>
      </c>
      <c r="V15" s="641">
        <v>0</v>
      </c>
      <c r="W15" s="641">
        <v>714033</v>
      </c>
      <c r="X15" s="641">
        <v>654537664</v>
      </c>
      <c r="Y15" s="641">
        <v>253850032</v>
      </c>
      <c r="Z15" s="641">
        <v>159845</v>
      </c>
      <c r="AA15" s="641">
        <v>0</v>
      </c>
      <c r="AB15" s="641">
        <v>0</v>
      </c>
      <c r="AC15" s="641">
        <v>0</v>
      </c>
      <c r="AD15" s="641">
        <v>51814580224</v>
      </c>
      <c r="AE15" s="641">
        <v>106790</v>
      </c>
      <c r="AF15" s="642">
        <v>884305664</v>
      </c>
      <c r="AG15" s="642">
        <v>426933440</v>
      </c>
      <c r="AH15" s="642">
        <v>3217370880</v>
      </c>
      <c r="AI15" s="642">
        <v>1773614464</v>
      </c>
      <c r="AJ15" s="642">
        <v>1089521792</v>
      </c>
      <c r="AK15" s="642">
        <v>2507231232</v>
      </c>
      <c r="AL15" s="642">
        <v>1155831680</v>
      </c>
      <c r="AM15" s="642">
        <v>1377506688</v>
      </c>
      <c r="AN15" s="642">
        <v>4395428352</v>
      </c>
      <c r="AO15" s="642">
        <v>6111518720</v>
      </c>
      <c r="AP15" s="642">
        <v>1231432448</v>
      </c>
      <c r="AQ15" s="642">
        <v>1068868224</v>
      </c>
      <c r="AR15" s="642">
        <v>2186349312</v>
      </c>
      <c r="AS15" s="642">
        <v>10282030080</v>
      </c>
      <c r="AT15" s="642">
        <v>1567722752</v>
      </c>
      <c r="AU15" s="210">
        <v>5267307</v>
      </c>
      <c r="AV15" s="210">
        <v>0</v>
      </c>
      <c r="AW15" s="210">
        <v>534394880</v>
      </c>
      <c r="AX15" s="210">
        <v>92759128</v>
      </c>
      <c r="AY15" s="210">
        <v>841520960</v>
      </c>
      <c r="AZ15" s="210">
        <v>2277465600</v>
      </c>
      <c r="BA15" s="210">
        <v>1252813056</v>
      </c>
      <c r="BB15" s="210">
        <v>217402064</v>
      </c>
      <c r="BC15" s="210">
        <v>0</v>
      </c>
      <c r="BD15" s="210">
        <v>1519395200</v>
      </c>
      <c r="BE15" s="210">
        <v>0</v>
      </c>
      <c r="BF15" s="210">
        <v>398105280</v>
      </c>
      <c r="BG15" s="210">
        <v>0</v>
      </c>
      <c r="BH15" s="210">
        <v>10282030080</v>
      </c>
      <c r="BI15" s="210">
        <v>516942432</v>
      </c>
      <c r="BJ15" s="210">
        <v>17193783296</v>
      </c>
      <c r="BK15" s="210">
        <v>16809715712</v>
      </c>
      <c r="BL15" s="643"/>
      <c r="BM15" s="643">
        <v>1369840512</v>
      </c>
      <c r="BN15" s="643">
        <v>-985772032</v>
      </c>
      <c r="BO15" s="643">
        <v>0</v>
      </c>
      <c r="BP15" s="643">
        <v>34789212160</v>
      </c>
      <c r="BQ15" s="643">
        <v>8941881344</v>
      </c>
      <c r="BR15" s="643">
        <v>399494560</v>
      </c>
      <c r="BS15" s="643">
        <v>2523169792</v>
      </c>
      <c r="BT15" s="643">
        <v>22924662784</v>
      </c>
      <c r="BU15" s="643">
        <v>1015364</v>
      </c>
      <c r="BV15" s="643">
        <v>488510</v>
      </c>
      <c r="BW15" s="643">
        <v>54595907584</v>
      </c>
      <c r="BX15" s="643"/>
      <c r="BY15" s="643">
        <v>2729016</v>
      </c>
      <c r="BZ15" s="643">
        <v>1819376256</v>
      </c>
      <c r="CA15" s="210">
        <v>51433288</v>
      </c>
      <c r="CB15" s="210">
        <v>56469446656</v>
      </c>
      <c r="CD15" s="210">
        <v>1369840512</v>
      </c>
      <c r="CE15" s="210">
        <v>-985772032</v>
      </c>
      <c r="CF15" s="210">
        <v>0</v>
      </c>
      <c r="CG15" s="639">
        <v>34789212160</v>
      </c>
      <c r="CH15" s="210">
        <v>8941881344</v>
      </c>
      <c r="CI15" s="210">
        <v>399494560</v>
      </c>
      <c r="CJ15" s="210">
        <v>2523169792</v>
      </c>
      <c r="CK15" s="210">
        <v>22924662784</v>
      </c>
      <c r="CL15" s="210">
        <v>1015364</v>
      </c>
      <c r="CM15" s="210">
        <v>488510</v>
      </c>
      <c r="CN15" s="210">
        <v>54595907584</v>
      </c>
      <c r="CP15" s="210">
        <v>2729016</v>
      </c>
      <c r="CQ15" s="210">
        <v>1819376256</v>
      </c>
      <c r="CR15" s="210">
        <v>51433288</v>
      </c>
      <c r="CS15" s="210">
        <v>56469446656</v>
      </c>
    </row>
    <row r="16" spans="1:97" x14ac:dyDescent="0.3">
      <c r="A16" s="210">
        <v>15</v>
      </c>
      <c r="B16" s="640">
        <v>0</v>
      </c>
      <c r="C16" s="640">
        <v>0</v>
      </c>
      <c r="D16" s="640">
        <v>135817456</v>
      </c>
      <c r="E16" s="640">
        <v>393609</v>
      </c>
      <c r="F16" s="640">
        <v>0</v>
      </c>
      <c r="G16" s="640">
        <v>0</v>
      </c>
      <c r="H16" s="640">
        <v>0</v>
      </c>
      <c r="I16" s="640">
        <v>0</v>
      </c>
      <c r="J16" s="640">
        <v>13081495</v>
      </c>
      <c r="K16" s="640">
        <v>33440</v>
      </c>
      <c r="L16" s="640">
        <v>0</v>
      </c>
      <c r="M16" s="640">
        <v>0</v>
      </c>
      <c r="N16" s="640">
        <v>94709296</v>
      </c>
      <c r="O16" s="640">
        <v>106790</v>
      </c>
      <c r="P16" s="640">
        <v>28075124736</v>
      </c>
      <c r="Q16" s="641">
        <v>0</v>
      </c>
      <c r="R16" s="641">
        <v>0</v>
      </c>
      <c r="S16" s="641">
        <v>0</v>
      </c>
      <c r="T16" s="641">
        <v>0</v>
      </c>
      <c r="U16" s="641">
        <v>0</v>
      </c>
      <c r="V16" s="641">
        <v>0</v>
      </c>
      <c r="W16" s="641">
        <v>0</v>
      </c>
      <c r="X16" s="641">
        <v>2632457</v>
      </c>
      <c r="Y16" s="641">
        <v>1295616</v>
      </c>
      <c r="Z16" s="641">
        <v>9800634</v>
      </c>
      <c r="AA16" s="641">
        <v>0</v>
      </c>
      <c r="AB16" s="641">
        <v>0</v>
      </c>
      <c r="AC16" s="641">
        <v>0</v>
      </c>
      <c r="AD16" s="641">
        <v>22902290</v>
      </c>
      <c r="AE16" s="641">
        <v>28075124736</v>
      </c>
      <c r="AF16" s="642">
        <v>0</v>
      </c>
      <c r="AG16" s="642">
        <v>13313738</v>
      </c>
      <c r="AH16" s="642">
        <v>115920856</v>
      </c>
      <c r="AI16" s="642">
        <v>46311296</v>
      </c>
      <c r="AJ16" s="642">
        <v>6725258</v>
      </c>
      <c r="AK16" s="642">
        <v>109506144</v>
      </c>
      <c r="AL16" s="642">
        <v>42756748</v>
      </c>
      <c r="AM16" s="642">
        <v>88261856</v>
      </c>
      <c r="AN16" s="642">
        <v>94846600</v>
      </c>
      <c r="AO16" s="642">
        <v>529295360</v>
      </c>
      <c r="AP16" s="642">
        <v>11602153</v>
      </c>
      <c r="AQ16" s="642">
        <v>1094160</v>
      </c>
      <c r="AR16" s="642">
        <v>398848256</v>
      </c>
      <c r="AS16" s="642">
        <v>516942432</v>
      </c>
      <c r="AT16" s="642">
        <v>72554224</v>
      </c>
      <c r="AU16" s="210">
        <v>1143568640</v>
      </c>
      <c r="AV16" s="210">
        <v>184661376</v>
      </c>
      <c r="AW16" s="210">
        <v>255838592</v>
      </c>
      <c r="AX16" s="210">
        <v>5550461952</v>
      </c>
      <c r="AY16" s="210">
        <v>898857728</v>
      </c>
      <c r="AZ16" s="210">
        <v>695785408</v>
      </c>
      <c r="BA16" s="210">
        <v>401456320</v>
      </c>
      <c r="BB16" s="210">
        <v>90694224</v>
      </c>
      <c r="BC16" s="210">
        <v>0</v>
      </c>
      <c r="BD16" s="210">
        <v>727837952</v>
      </c>
      <c r="BE16" s="210">
        <v>0</v>
      </c>
      <c r="BF16" s="210">
        <v>3281599</v>
      </c>
      <c r="BG16" s="210">
        <v>0</v>
      </c>
      <c r="BH16" s="210">
        <v>1567722752</v>
      </c>
      <c r="BI16" s="210">
        <v>72554224</v>
      </c>
      <c r="BJ16" s="210">
        <v>26681765888</v>
      </c>
      <c r="BK16" s="210">
        <v>25853370368</v>
      </c>
      <c r="BL16" s="643"/>
      <c r="BM16" s="643">
        <v>0</v>
      </c>
      <c r="BN16" s="643">
        <v>828395520</v>
      </c>
      <c r="BO16" s="643">
        <v>0</v>
      </c>
      <c r="BP16" s="643">
        <v>16519033856</v>
      </c>
      <c r="BQ16" s="643">
        <v>2117503104</v>
      </c>
      <c r="BR16" s="643">
        <v>49798408</v>
      </c>
      <c r="BS16" s="643">
        <v>840346368</v>
      </c>
      <c r="BT16" s="643">
        <v>13511387136</v>
      </c>
      <c r="BU16" s="643">
        <v>780033</v>
      </c>
      <c r="BV16" s="643">
        <v>358328</v>
      </c>
      <c r="BW16" s="643">
        <v>28319266816</v>
      </c>
      <c r="BX16" s="643"/>
      <c r="BY16" s="643">
        <v>0</v>
      </c>
      <c r="BZ16" s="643">
        <v>410478816</v>
      </c>
      <c r="CA16" s="210">
        <v>0</v>
      </c>
      <c r="CB16" s="210">
        <v>28729745408</v>
      </c>
      <c r="CD16" s="210">
        <v>0</v>
      </c>
      <c r="CE16" s="210">
        <v>828395520</v>
      </c>
      <c r="CF16" s="210">
        <v>0</v>
      </c>
      <c r="CG16" s="639">
        <v>16519033856</v>
      </c>
      <c r="CH16" s="210">
        <v>2117503104</v>
      </c>
      <c r="CI16" s="210">
        <v>49798408</v>
      </c>
      <c r="CJ16" s="210">
        <v>840346368</v>
      </c>
      <c r="CK16" s="210">
        <v>13511387136</v>
      </c>
      <c r="CL16" s="210">
        <v>780033</v>
      </c>
      <c r="CM16" s="210">
        <v>358328</v>
      </c>
      <c r="CN16" s="210">
        <v>28319266816</v>
      </c>
      <c r="CP16" s="210">
        <v>0</v>
      </c>
      <c r="CQ16" s="210">
        <v>410478816</v>
      </c>
      <c r="CR16" s="210">
        <v>0</v>
      </c>
      <c r="CS16" s="210">
        <v>28729745408</v>
      </c>
    </row>
    <row r="17" spans="1:97" x14ac:dyDescent="0.3">
      <c r="A17" s="381" t="s">
        <v>0</v>
      </c>
      <c r="B17" s="381">
        <f>+SUM(B2:B16)</f>
        <v>27268239130</v>
      </c>
      <c r="C17" s="381">
        <f t="shared" ref="C17:BN17" si="0">+SUM(C2:C16)</f>
        <v>7270963254</v>
      </c>
      <c r="D17" s="381">
        <f t="shared" si="0"/>
        <v>43831248278</v>
      </c>
      <c r="E17" s="381">
        <f t="shared" si="0"/>
        <v>32631652578</v>
      </c>
      <c r="F17" s="381">
        <f t="shared" si="0"/>
        <v>15498873096</v>
      </c>
      <c r="G17" s="381">
        <f t="shared" si="0"/>
        <v>26665671690</v>
      </c>
      <c r="H17" s="381">
        <f t="shared" si="0"/>
        <v>14284676708</v>
      </c>
      <c r="I17" s="381">
        <f t="shared" si="0"/>
        <v>23823466106</v>
      </c>
      <c r="J17" s="381">
        <f t="shared" si="0"/>
        <v>46327782118</v>
      </c>
      <c r="K17" s="381">
        <f t="shared" si="0"/>
        <v>34233945478</v>
      </c>
      <c r="L17" s="381">
        <f t="shared" si="0"/>
        <v>6464616424</v>
      </c>
      <c r="M17" s="381">
        <f t="shared" si="0"/>
        <v>10302957329</v>
      </c>
      <c r="N17" s="381">
        <f t="shared" si="0"/>
        <v>21116580423</v>
      </c>
      <c r="O17" s="381">
        <f t="shared" si="0"/>
        <v>52727305433</v>
      </c>
      <c r="P17" s="381">
        <f t="shared" si="0"/>
        <v>28111755733</v>
      </c>
      <c r="Q17" s="381">
        <f t="shared" si="0"/>
        <v>26787780399</v>
      </c>
      <c r="R17" s="381">
        <f t="shared" si="0"/>
        <v>6921002623</v>
      </c>
      <c r="S17" s="381">
        <f t="shared" si="0"/>
        <v>42006558632</v>
      </c>
      <c r="T17" s="381">
        <f t="shared" si="0"/>
        <v>32026425183</v>
      </c>
      <c r="U17" s="381">
        <f t="shared" si="0"/>
        <v>15256010396</v>
      </c>
      <c r="V17" s="381">
        <f t="shared" si="0"/>
        <v>26491264913</v>
      </c>
      <c r="W17" s="381">
        <f t="shared" si="0"/>
        <v>14042303357</v>
      </c>
      <c r="X17" s="381">
        <f t="shared" si="0"/>
        <v>25591078761</v>
      </c>
      <c r="Y17" s="381">
        <f t="shared" si="0"/>
        <v>47429008342</v>
      </c>
      <c r="Z17" s="381">
        <f t="shared" si="0"/>
        <v>33580733434</v>
      </c>
      <c r="AA17" s="381">
        <f t="shared" si="0"/>
        <v>6457843064</v>
      </c>
      <c r="AB17" s="381">
        <f t="shared" si="0"/>
        <v>10372672904</v>
      </c>
      <c r="AC17" s="381">
        <f t="shared" si="0"/>
        <v>20681877504</v>
      </c>
      <c r="AD17" s="381">
        <f t="shared" si="0"/>
        <v>54595907444</v>
      </c>
      <c r="AE17" s="381">
        <f t="shared" si="0"/>
        <v>28319266822</v>
      </c>
      <c r="AF17" s="381">
        <f t="shared" si="0"/>
        <v>7867754972</v>
      </c>
      <c r="AG17" s="381">
        <f t="shared" si="0"/>
        <v>3894549170</v>
      </c>
      <c r="AH17" s="381">
        <f t="shared" si="0"/>
        <v>24451468370</v>
      </c>
      <c r="AI17" s="381">
        <f t="shared" si="0"/>
        <v>23400740076</v>
      </c>
      <c r="AJ17" s="381">
        <f t="shared" si="0"/>
        <v>10065308729</v>
      </c>
      <c r="AK17" s="381">
        <f t="shared" si="0"/>
        <v>16475802413</v>
      </c>
      <c r="AL17" s="381">
        <f t="shared" si="0"/>
        <v>8271551936</v>
      </c>
      <c r="AM17" s="381">
        <f t="shared" si="0"/>
        <v>12427275353</v>
      </c>
      <c r="AN17" s="381">
        <f t="shared" si="0"/>
        <v>12563587208</v>
      </c>
      <c r="AO17" s="381">
        <f t="shared" si="0"/>
        <v>15833488840</v>
      </c>
      <c r="AP17" s="381">
        <f t="shared" si="0"/>
        <v>2612954264</v>
      </c>
      <c r="AQ17" s="381">
        <f t="shared" si="0"/>
        <v>2730586626</v>
      </c>
      <c r="AR17" s="381">
        <f t="shared" si="0"/>
        <v>6746012264</v>
      </c>
      <c r="AS17" s="381">
        <f t="shared" si="0"/>
        <v>17938095987</v>
      </c>
      <c r="AT17" s="381">
        <f t="shared" si="0"/>
        <v>11592720767</v>
      </c>
      <c r="AU17" s="381">
        <f t="shared" si="0"/>
        <v>19004806200</v>
      </c>
      <c r="AV17" s="381">
        <f t="shared" si="0"/>
        <v>2204765695</v>
      </c>
      <c r="AW17" s="381">
        <f t="shared" si="0"/>
        <v>25561535700</v>
      </c>
      <c r="AX17" s="381">
        <f t="shared" si="0"/>
        <v>11901350746</v>
      </c>
      <c r="AY17" s="381">
        <f t="shared" si="0"/>
        <v>9639743311</v>
      </c>
      <c r="AZ17" s="381">
        <f t="shared" si="0"/>
        <v>29985929632</v>
      </c>
      <c r="BA17" s="381">
        <f t="shared" si="0"/>
        <v>15843230344</v>
      </c>
      <c r="BB17" s="381">
        <f t="shared" si="0"/>
        <v>1032202879</v>
      </c>
      <c r="BC17" s="381">
        <f t="shared" si="0"/>
        <v>0</v>
      </c>
      <c r="BD17" s="381">
        <f t="shared" si="0"/>
        <v>19674189680</v>
      </c>
      <c r="BE17" s="381">
        <f t="shared" si="0"/>
        <v>13646836</v>
      </c>
      <c r="BF17" s="381">
        <f t="shared" si="0"/>
        <v>686851143</v>
      </c>
      <c r="BG17" s="381">
        <f t="shared" si="0"/>
        <v>0</v>
      </c>
      <c r="BH17" s="381">
        <f t="shared" si="0"/>
        <v>39275665728</v>
      </c>
      <c r="BI17" s="381">
        <f t="shared" si="0"/>
        <v>2047979081</v>
      </c>
      <c r="BJ17" s="381">
        <f t="shared" si="0"/>
        <v>276881525248</v>
      </c>
      <c r="BK17" s="381">
        <f t="shared" si="0"/>
        <v>160293441376</v>
      </c>
      <c r="BL17" s="381">
        <f t="shared" si="0"/>
        <v>49720004992</v>
      </c>
      <c r="BM17" s="381">
        <f t="shared" si="0"/>
        <v>42265078168</v>
      </c>
      <c r="BN17" s="381">
        <f t="shared" si="0"/>
        <v>1539349504</v>
      </c>
      <c r="BO17" s="381">
        <f t="shared" ref="BO17:CS17" si="1">+SUM(BO2:BO16)</f>
        <v>23063650304</v>
      </c>
      <c r="BP17" s="381">
        <f t="shared" si="1"/>
        <v>213687833856</v>
      </c>
      <c r="BQ17" s="381">
        <f t="shared" si="1"/>
        <v>59508795232</v>
      </c>
      <c r="BR17" s="381">
        <f t="shared" si="1"/>
        <v>2825118266</v>
      </c>
      <c r="BS17" s="381">
        <f t="shared" si="1"/>
        <v>13906408416</v>
      </c>
      <c r="BT17" s="381">
        <f t="shared" si="1"/>
        <v>137447508992</v>
      </c>
      <c r="BU17" s="381">
        <f t="shared" si="1"/>
        <v>8077192</v>
      </c>
      <c r="BV17" s="381">
        <f t="shared" si="1"/>
        <v>9010037</v>
      </c>
      <c r="BW17" s="381">
        <f t="shared" si="1"/>
        <v>343130720256</v>
      </c>
      <c r="BX17" s="381">
        <f t="shared" si="1"/>
        <v>43240853976</v>
      </c>
      <c r="BY17" s="381">
        <f t="shared" si="1"/>
        <v>2744294253</v>
      </c>
      <c r="BZ17" s="381">
        <f t="shared" si="1"/>
        <v>17208534636</v>
      </c>
      <c r="CA17" s="381">
        <f t="shared" si="1"/>
        <v>47429009736</v>
      </c>
      <c r="CB17" s="381">
        <f t="shared" si="1"/>
        <v>453753418240</v>
      </c>
      <c r="CC17" s="381">
        <f t="shared" si="1"/>
        <v>49720004992</v>
      </c>
      <c r="CD17" s="381">
        <f t="shared" si="1"/>
        <v>42265078168</v>
      </c>
      <c r="CE17" s="381">
        <f t="shared" si="1"/>
        <v>1539349504</v>
      </c>
      <c r="CF17" s="381">
        <f t="shared" si="1"/>
        <v>23063650304</v>
      </c>
      <c r="CG17" s="381">
        <f t="shared" si="1"/>
        <v>213687833856</v>
      </c>
      <c r="CH17" s="381">
        <f t="shared" si="1"/>
        <v>59508795232</v>
      </c>
      <c r="CI17" s="381">
        <f t="shared" si="1"/>
        <v>2825118266</v>
      </c>
      <c r="CJ17" s="381">
        <f t="shared" si="1"/>
        <v>13906408416</v>
      </c>
      <c r="CK17" s="381">
        <f t="shared" si="1"/>
        <v>137447508992</v>
      </c>
      <c r="CL17" s="381">
        <f t="shared" si="1"/>
        <v>8077192</v>
      </c>
      <c r="CM17" s="381">
        <f t="shared" si="1"/>
        <v>9010037</v>
      </c>
      <c r="CN17" s="381">
        <f t="shared" si="1"/>
        <v>343130720256</v>
      </c>
      <c r="CO17" s="381">
        <f t="shared" si="1"/>
        <v>43240853976</v>
      </c>
      <c r="CP17" s="381">
        <f t="shared" si="1"/>
        <v>2744294253</v>
      </c>
      <c r="CQ17" s="381">
        <f t="shared" si="1"/>
        <v>17208534636</v>
      </c>
      <c r="CR17" s="381">
        <f t="shared" si="1"/>
        <v>47429009736</v>
      </c>
      <c r="CS17" s="381">
        <f t="shared" si="1"/>
        <v>453753418240</v>
      </c>
    </row>
    <row r="19" spans="1:97" x14ac:dyDescent="0.3">
      <c r="BO19" s="210" t="s">
        <v>849</v>
      </c>
      <c r="BP19" s="639">
        <v>19400482816</v>
      </c>
      <c r="BQ19" s="639">
        <v>3376414464</v>
      </c>
      <c r="BR19" s="639">
        <v>19379783680</v>
      </c>
      <c r="BS19" s="639">
        <v>9230912512</v>
      </c>
      <c r="BT19" s="639">
        <v>5433564160</v>
      </c>
      <c r="BU19" s="639">
        <v>10189863936</v>
      </c>
      <c r="BV19" s="639">
        <v>6013124608</v>
      </c>
      <c r="BW19" s="639">
        <v>11396190208</v>
      </c>
      <c r="BX19" s="639">
        <v>33764194304</v>
      </c>
      <c r="BY19" s="639">
        <v>18400458752</v>
      </c>
      <c r="BZ19" s="639">
        <v>3851662336</v>
      </c>
      <c r="CA19" s="639">
        <v>7572370944</v>
      </c>
      <c r="CB19" s="639">
        <v>14370565120</v>
      </c>
      <c r="CC19" s="639">
        <v>34789212160</v>
      </c>
      <c r="CD19" s="639">
        <v>16519033856</v>
      </c>
      <c r="CE19" s="381">
        <v>213687833856</v>
      </c>
    </row>
    <row r="20" spans="1:97" x14ac:dyDescent="0.3">
      <c r="BO20" s="210" t="s">
        <v>850</v>
      </c>
      <c r="BP20" s="210">
        <v>3236472320</v>
      </c>
      <c r="BQ20" s="210">
        <v>535511648</v>
      </c>
      <c r="BR20" s="210">
        <v>6117665280</v>
      </c>
      <c r="BS20" s="210">
        <v>2459040512</v>
      </c>
      <c r="BT20" s="210">
        <v>1510580992</v>
      </c>
      <c r="BU20" s="210">
        <v>3142932480</v>
      </c>
      <c r="BV20" s="210">
        <v>1837750016</v>
      </c>
      <c r="BW20" s="210">
        <v>3244311808</v>
      </c>
      <c r="BX20" s="210">
        <v>5239189504</v>
      </c>
      <c r="BY20" s="210">
        <v>4562599936</v>
      </c>
      <c r="BZ20" s="210">
        <v>1656378752</v>
      </c>
      <c r="CA20" s="210">
        <v>1620386048</v>
      </c>
      <c r="CB20" s="210">
        <v>13286591488</v>
      </c>
      <c r="CC20" s="210">
        <v>8941881344</v>
      </c>
      <c r="CD20" s="210">
        <v>2117503104</v>
      </c>
      <c r="CE20" s="381">
        <v>59508795232</v>
      </c>
      <c r="CF20" s="754"/>
    </row>
    <row r="21" spans="1:97" x14ac:dyDescent="0.3">
      <c r="BO21" s="210" t="s">
        <v>851</v>
      </c>
      <c r="BP21" s="210">
        <v>37925732</v>
      </c>
      <c r="BQ21" s="210">
        <v>28825894</v>
      </c>
      <c r="BR21" s="210">
        <v>731888192</v>
      </c>
      <c r="BS21" s="210">
        <v>177661392</v>
      </c>
      <c r="BT21" s="210">
        <v>81640448</v>
      </c>
      <c r="BU21" s="210">
        <v>175885216</v>
      </c>
      <c r="BV21" s="210">
        <v>96578832</v>
      </c>
      <c r="BW21" s="210">
        <v>172655744</v>
      </c>
      <c r="BX21" s="210">
        <v>295419616</v>
      </c>
      <c r="BY21" s="210">
        <v>150767312</v>
      </c>
      <c r="BZ21" s="210">
        <v>18627248</v>
      </c>
      <c r="CA21" s="210">
        <v>43650728</v>
      </c>
      <c r="CB21" s="210">
        <v>364298944</v>
      </c>
      <c r="CC21" s="210">
        <v>399494560</v>
      </c>
      <c r="CD21" s="210">
        <v>49798408</v>
      </c>
      <c r="CE21" s="381">
        <v>2825118266</v>
      </c>
    </row>
    <row r="22" spans="1:97" x14ac:dyDescent="0.3">
      <c r="BO22" s="210" t="s">
        <v>852</v>
      </c>
      <c r="BP22" s="210">
        <v>508806432</v>
      </c>
      <c r="BQ22" s="210">
        <v>530593152</v>
      </c>
      <c r="BR22" s="210">
        <v>1393146624</v>
      </c>
      <c r="BS22" s="210">
        <v>856080576</v>
      </c>
      <c r="BT22" s="210">
        <v>441722144</v>
      </c>
      <c r="BU22" s="210">
        <v>1070070016</v>
      </c>
      <c r="BV22" s="210">
        <v>476099360</v>
      </c>
      <c r="BW22" s="210">
        <v>657189184</v>
      </c>
      <c r="BX22" s="210">
        <v>441065632</v>
      </c>
      <c r="BY22" s="210">
        <v>2874657024</v>
      </c>
      <c r="BZ22" s="210">
        <v>378698880</v>
      </c>
      <c r="CA22" s="210">
        <v>195088736</v>
      </c>
      <c r="CB22" s="210">
        <v>719674496</v>
      </c>
      <c r="CC22" s="210">
        <v>2523169792</v>
      </c>
      <c r="CD22" s="210">
        <v>840346368</v>
      </c>
      <c r="CE22" s="381">
        <v>13906408416</v>
      </c>
    </row>
    <row r="23" spans="1:97" x14ac:dyDescent="0.3">
      <c r="BO23" s="210" t="s">
        <v>853</v>
      </c>
      <c r="BP23" s="210">
        <v>15617276928</v>
      </c>
      <c r="BQ23" s="210">
        <v>2281483776</v>
      </c>
      <c r="BR23" s="210">
        <v>11137083392</v>
      </c>
      <c r="BS23" s="210">
        <v>5738129920</v>
      </c>
      <c r="BT23" s="210">
        <v>3399620608</v>
      </c>
      <c r="BU23" s="210">
        <v>5800976896</v>
      </c>
      <c r="BV23" s="210">
        <v>3602696192</v>
      </c>
      <c r="BW23" s="210">
        <v>7322034176</v>
      </c>
      <c r="BX23" s="210">
        <v>27788519424</v>
      </c>
      <c r="BY23" s="210">
        <v>10812434432</v>
      </c>
      <c r="BZ23" s="210">
        <v>1797957632</v>
      </c>
      <c r="CA23" s="210">
        <v>5713245696</v>
      </c>
      <c r="CB23" s="210">
        <v>0</v>
      </c>
      <c r="CC23" s="210">
        <v>22924662784</v>
      </c>
      <c r="CD23" s="210">
        <v>13511387136</v>
      </c>
      <c r="CE23" s="381">
        <v>137447508992</v>
      </c>
      <c r="CJ23" s="209"/>
      <c r="CK23" s="209"/>
    </row>
    <row r="24" spans="1:97" x14ac:dyDescent="0.3">
      <c r="BP24" s="754"/>
      <c r="CJ24" s="209"/>
      <c r="CK24" s="209"/>
    </row>
    <row r="25" spans="1:97" x14ac:dyDescent="0.3">
      <c r="BO25" s="210" t="s">
        <v>856</v>
      </c>
      <c r="BP25" s="643">
        <v>26787780608</v>
      </c>
      <c r="BQ25" s="643">
        <v>6921002496</v>
      </c>
      <c r="BR25" s="643">
        <v>42006556672</v>
      </c>
      <c r="BS25" s="643">
        <v>32026425344</v>
      </c>
      <c r="BT25" s="643">
        <v>15256009728</v>
      </c>
      <c r="BU25" s="643">
        <v>26491265024</v>
      </c>
      <c r="BV25" s="643">
        <v>14042303488</v>
      </c>
      <c r="BW25" s="643">
        <v>25591076864</v>
      </c>
      <c r="BX25" s="643">
        <v>0</v>
      </c>
      <c r="BY25" s="643">
        <v>33580732416</v>
      </c>
      <c r="BZ25" s="643">
        <v>6457843200</v>
      </c>
      <c r="CA25" s="643">
        <v>10372672512</v>
      </c>
      <c r="CB25" s="643">
        <v>20681877504</v>
      </c>
      <c r="CC25" s="643">
        <v>54595907584</v>
      </c>
      <c r="CD25" s="643">
        <v>28319266816</v>
      </c>
      <c r="CE25" s="381">
        <v>343130720256</v>
      </c>
      <c r="CJ25" s="209"/>
      <c r="CK25" s="209"/>
    </row>
    <row r="26" spans="1:97" x14ac:dyDescent="0.3">
      <c r="BO26" s="210" t="s">
        <v>857</v>
      </c>
      <c r="BP26" s="643">
        <v>4147593984</v>
      </c>
      <c r="BQ26" s="643">
        <v>132568664</v>
      </c>
      <c r="BR26" s="643">
        <v>7798579200</v>
      </c>
      <c r="BS26" s="643">
        <v>3095548416</v>
      </c>
      <c r="BT26" s="643">
        <v>1843738240</v>
      </c>
      <c r="BU26" s="643">
        <v>17178010624</v>
      </c>
      <c r="BV26" s="643">
        <v>9044814848</v>
      </c>
      <c r="BW26" s="643"/>
      <c r="BX26" s="643">
        <v>0</v>
      </c>
      <c r="BY26" s="643"/>
      <c r="BZ26" s="643"/>
      <c r="CA26" s="643"/>
      <c r="CB26" s="643"/>
      <c r="CC26" s="643"/>
      <c r="CD26" s="643"/>
      <c r="CE26" s="381">
        <v>43240853976</v>
      </c>
      <c r="CJ26" s="209"/>
      <c r="CK26" s="209"/>
    </row>
    <row r="27" spans="1:97" x14ac:dyDescent="0.3">
      <c r="BO27" s="210" t="s">
        <v>858</v>
      </c>
      <c r="BP27" s="643">
        <v>200529280</v>
      </c>
      <c r="BQ27" s="643">
        <v>1217549</v>
      </c>
      <c r="BR27" s="643">
        <v>158796320</v>
      </c>
      <c r="BS27" s="643">
        <v>288904128</v>
      </c>
      <c r="BT27" s="643">
        <v>133561288</v>
      </c>
      <c r="BU27" s="643">
        <v>1520869120</v>
      </c>
      <c r="BV27" s="643">
        <v>437687552</v>
      </c>
      <c r="BW27" s="643">
        <v>0</v>
      </c>
      <c r="BX27" s="643">
        <v>0</v>
      </c>
      <c r="BY27" s="643">
        <v>0</v>
      </c>
      <c r="BZ27" s="643">
        <v>0</v>
      </c>
      <c r="CA27" s="643">
        <v>0</v>
      </c>
      <c r="CB27" s="643">
        <v>0</v>
      </c>
      <c r="CC27" s="643">
        <v>2729016</v>
      </c>
      <c r="CD27" s="643">
        <v>0</v>
      </c>
      <c r="CE27" s="381">
        <v>2744294253</v>
      </c>
      <c r="CJ27" s="209"/>
      <c r="CK27" s="209"/>
    </row>
    <row r="28" spans="1:97" x14ac:dyDescent="0.3">
      <c r="BO28" s="210" t="s">
        <v>859</v>
      </c>
      <c r="BP28" s="643">
        <v>359812864</v>
      </c>
      <c r="BQ28" s="643">
        <v>28810292</v>
      </c>
      <c r="BR28" s="643">
        <v>3632160512</v>
      </c>
      <c r="BS28" s="643">
        <v>5144044544</v>
      </c>
      <c r="BT28" s="643">
        <v>1038660096</v>
      </c>
      <c r="BU28" s="643">
        <v>2069917440</v>
      </c>
      <c r="BV28" s="643">
        <v>1077880320</v>
      </c>
      <c r="BW28" s="643">
        <v>1036756096</v>
      </c>
      <c r="BX28" s="643">
        <v>0</v>
      </c>
      <c r="BY28" s="643">
        <v>494993440</v>
      </c>
      <c r="BZ28" s="643">
        <v>0</v>
      </c>
      <c r="CA28" s="643">
        <v>95643960</v>
      </c>
      <c r="CB28" s="643">
        <v>0</v>
      </c>
      <c r="CC28" s="643">
        <v>1819376256</v>
      </c>
      <c r="CD28" s="643">
        <v>410478816</v>
      </c>
      <c r="CE28" s="381">
        <v>17208534636</v>
      </c>
      <c r="CJ28" s="209"/>
      <c r="CK28" s="209"/>
    </row>
    <row r="29" spans="1:97" x14ac:dyDescent="0.3">
      <c r="BO29" s="210" t="s">
        <v>860</v>
      </c>
      <c r="BP29" s="210">
        <v>13484404736</v>
      </c>
      <c r="BQ29" s="210">
        <v>3124307456</v>
      </c>
      <c r="BR29" s="210">
        <v>2309553664</v>
      </c>
      <c r="BS29" s="210">
        <v>7140355584</v>
      </c>
      <c r="BT29" s="210">
        <v>5112423936</v>
      </c>
      <c r="BU29" s="210">
        <v>11567692800</v>
      </c>
      <c r="BV29" s="210">
        <v>4638838272</v>
      </c>
      <c r="BW29" s="210">
        <v>0</v>
      </c>
      <c r="BX29" s="210">
        <v>0</v>
      </c>
      <c r="BY29" s="210">
        <v>0</v>
      </c>
      <c r="BZ29" s="210">
        <v>0</v>
      </c>
      <c r="CA29" s="210">
        <v>0</v>
      </c>
      <c r="CB29" s="210">
        <v>0</v>
      </c>
      <c r="CC29" s="210">
        <v>51433288</v>
      </c>
      <c r="CD29" s="210">
        <v>0</v>
      </c>
      <c r="CE29" s="381">
        <v>47429009736</v>
      </c>
      <c r="CJ29" s="209"/>
      <c r="CK29" s="209"/>
    </row>
    <row r="30" spans="1:97" x14ac:dyDescent="0.3">
      <c r="BO30" s="210" t="s">
        <v>861</v>
      </c>
      <c r="BP30" s="210">
        <v>44980121600</v>
      </c>
      <c r="BQ30" s="210">
        <v>10207905792</v>
      </c>
      <c r="BR30" s="210">
        <v>55905648640</v>
      </c>
      <c r="BS30" s="210">
        <v>47695278080</v>
      </c>
      <c r="BT30" s="210">
        <v>23384393728</v>
      </c>
      <c r="BU30" s="210">
        <v>58827755520</v>
      </c>
      <c r="BV30" s="210">
        <v>29241526272</v>
      </c>
      <c r="BW30" s="210">
        <v>26627833856</v>
      </c>
      <c r="BX30" s="210">
        <v>0</v>
      </c>
      <c r="BY30" s="210">
        <v>34075725824</v>
      </c>
      <c r="BZ30" s="210">
        <v>6457843200</v>
      </c>
      <c r="CA30" s="210">
        <v>10468316160</v>
      </c>
      <c r="CB30" s="210">
        <v>20681877504</v>
      </c>
      <c r="CC30" s="210">
        <v>56469446656</v>
      </c>
      <c r="CD30" s="210">
        <v>28729745408</v>
      </c>
      <c r="CE30" s="381">
        <v>453753418240</v>
      </c>
      <c r="CJ30" s="209"/>
      <c r="CK30" s="209"/>
    </row>
    <row r="31" spans="1:97" x14ac:dyDescent="0.3">
      <c r="BO31" s="210" t="s">
        <v>723</v>
      </c>
      <c r="BP31" s="362">
        <f>+BP26/(BP26+BP25)</f>
        <v>0.13407285473997729</v>
      </c>
      <c r="BQ31" s="362">
        <f t="shared" ref="BQ31:CD31" si="2">+BQ26/(BQ26+BQ25)</f>
        <v>1.8794545485240417E-2</v>
      </c>
      <c r="BR31" s="362">
        <f t="shared" si="2"/>
        <v>0.15658182762601983</v>
      </c>
      <c r="BS31" s="362">
        <f t="shared" si="2"/>
        <v>8.8137085835576917E-2</v>
      </c>
      <c r="BT31" s="362">
        <f t="shared" si="2"/>
        <v>0.10782253887310628</v>
      </c>
      <c r="BU31" s="362">
        <f t="shared" si="2"/>
        <v>0.3933660535719633</v>
      </c>
      <c r="BV31" s="362">
        <f t="shared" si="2"/>
        <v>0.39176889537991061</v>
      </c>
      <c r="BW31" s="362">
        <f t="shared" si="2"/>
        <v>0</v>
      </c>
      <c r="BX31" s="362">
        <v>0</v>
      </c>
      <c r="BY31" s="362">
        <f t="shared" si="2"/>
        <v>0</v>
      </c>
      <c r="BZ31" s="362">
        <f t="shared" si="2"/>
        <v>0</v>
      </c>
      <c r="CA31" s="362">
        <f t="shared" si="2"/>
        <v>0</v>
      </c>
      <c r="CB31" s="362">
        <f t="shared" si="2"/>
        <v>0</v>
      </c>
      <c r="CC31" s="362">
        <f t="shared" si="2"/>
        <v>0</v>
      </c>
      <c r="CD31" s="362">
        <f t="shared" si="2"/>
        <v>0</v>
      </c>
      <c r="CJ31" s="209"/>
      <c r="CK31" s="209"/>
    </row>
    <row r="32" spans="1:97" x14ac:dyDescent="0.3">
      <c r="BO32" s="210" t="s">
        <v>724</v>
      </c>
      <c r="BP32" s="362">
        <f>1-BP31</f>
        <v>0.86592714526002268</v>
      </c>
      <c r="BQ32" s="362">
        <f t="shared" ref="BQ32:CD32" si="3">1-BQ31</f>
        <v>0.9812054545147596</v>
      </c>
      <c r="BR32" s="362">
        <f t="shared" si="3"/>
        <v>0.8434181723739802</v>
      </c>
      <c r="BS32" s="362">
        <f t="shared" si="3"/>
        <v>0.91186291416442311</v>
      </c>
      <c r="BT32" s="362">
        <f t="shared" si="3"/>
        <v>0.89217746112689378</v>
      </c>
      <c r="BU32" s="362">
        <f t="shared" si="3"/>
        <v>0.6066339464280367</v>
      </c>
      <c r="BV32" s="362">
        <f t="shared" si="3"/>
        <v>0.60823110462008945</v>
      </c>
      <c r="BW32" s="362">
        <f t="shared" si="3"/>
        <v>1</v>
      </c>
      <c r="BX32" s="362">
        <v>0</v>
      </c>
      <c r="BY32" s="362">
        <f t="shared" si="3"/>
        <v>1</v>
      </c>
      <c r="BZ32" s="362">
        <f t="shared" si="3"/>
        <v>1</v>
      </c>
      <c r="CA32" s="362">
        <f t="shared" si="3"/>
        <v>1</v>
      </c>
      <c r="CB32" s="362">
        <f t="shared" si="3"/>
        <v>1</v>
      </c>
      <c r="CC32" s="362">
        <f t="shared" si="3"/>
        <v>1</v>
      </c>
      <c r="CD32" s="362">
        <f t="shared" si="3"/>
        <v>1</v>
      </c>
      <c r="CJ32" s="209"/>
      <c r="CK32" s="209"/>
    </row>
    <row r="33" spans="4:89" x14ac:dyDescent="0.3">
      <c r="CJ33" s="209"/>
      <c r="CK33" s="209"/>
    </row>
    <row r="34" spans="4:89" x14ac:dyDescent="0.3">
      <c r="CJ34" s="209"/>
      <c r="CK34" s="209"/>
    </row>
    <row r="35" spans="4:89" x14ac:dyDescent="0.3">
      <c r="CJ35" s="209"/>
      <c r="CK35" s="209"/>
    </row>
    <row r="36" spans="4:89" x14ac:dyDescent="0.3">
      <c r="CJ36" s="209"/>
      <c r="CK36" s="209"/>
    </row>
    <row r="37" spans="4:89" x14ac:dyDescent="0.3">
      <c r="CJ37" s="209"/>
      <c r="CK37" s="209"/>
    </row>
    <row r="38" spans="4:89" x14ac:dyDescent="0.3">
      <c r="CJ38" s="209"/>
      <c r="CK38" s="209"/>
    </row>
    <row r="41" spans="4:89" x14ac:dyDescent="0.3"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CB35-F25C-49D7-8D68-52ADFC221C02}">
  <dimension ref="A1:L47"/>
  <sheetViews>
    <sheetView workbookViewId="0">
      <selection sqref="A1:L47"/>
    </sheetView>
  </sheetViews>
  <sheetFormatPr defaultColWidth="11" defaultRowHeight="13" x14ac:dyDescent="0.3"/>
  <cols>
    <col min="1" max="10" width="11" customWidth="1"/>
    <col min="11" max="11" width="13.109375" bestFit="1" customWidth="1"/>
  </cols>
  <sheetData>
    <row r="1" spans="1:12" x14ac:dyDescent="0.3">
      <c r="A1" t="s">
        <v>862</v>
      </c>
      <c r="B1" t="s">
        <v>863</v>
      </c>
      <c r="C1" t="s">
        <v>864</v>
      </c>
      <c r="D1" t="s">
        <v>865</v>
      </c>
      <c r="E1" t="s">
        <v>866</v>
      </c>
      <c r="F1" t="s">
        <v>867</v>
      </c>
      <c r="G1" t="s">
        <v>868</v>
      </c>
      <c r="H1" t="s">
        <v>869</v>
      </c>
      <c r="I1" t="s">
        <v>870</v>
      </c>
      <c r="J1" t="s">
        <v>871</v>
      </c>
      <c r="K1" t="s">
        <v>872</v>
      </c>
      <c r="L1" t="s">
        <v>873</v>
      </c>
    </row>
    <row r="2" spans="1:12" x14ac:dyDescent="0.3">
      <c r="A2">
        <v>8215799808</v>
      </c>
      <c r="B2">
        <v>0</v>
      </c>
      <c r="C2">
        <v>981505600</v>
      </c>
      <c r="D2">
        <v>1519761152</v>
      </c>
      <c r="E2">
        <v>3356849152</v>
      </c>
      <c r="F2">
        <v>12933286912</v>
      </c>
      <c r="G2">
        <v>531779008</v>
      </c>
      <c r="H2">
        <v>0</v>
      </c>
      <c r="I2">
        <v>11397573</v>
      </c>
      <c r="J2">
        <v>0</v>
      </c>
      <c r="K2">
        <v>857254592</v>
      </c>
      <c r="L2">
        <v>847067968</v>
      </c>
    </row>
    <row r="3" spans="1:12" x14ac:dyDescent="0.3">
      <c r="A3">
        <v>1494453888</v>
      </c>
      <c r="B3">
        <v>0</v>
      </c>
      <c r="C3">
        <v>0</v>
      </c>
      <c r="D3">
        <v>12714480640</v>
      </c>
      <c r="E3">
        <v>-1438156928</v>
      </c>
      <c r="F3">
        <v>10887188480</v>
      </c>
      <c r="G3">
        <v>13998221</v>
      </c>
      <c r="H3">
        <v>0</v>
      </c>
      <c r="I3">
        <v>0</v>
      </c>
      <c r="J3">
        <v>0</v>
      </c>
      <c r="K3">
        <v>3975924480</v>
      </c>
      <c r="L3">
        <v>34621188</v>
      </c>
    </row>
    <row r="4" spans="1:12" x14ac:dyDescent="0.3">
      <c r="A4">
        <v>1764882304</v>
      </c>
      <c r="B4">
        <v>0</v>
      </c>
      <c r="C4">
        <v>0</v>
      </c>
      <c r="D4">
        <v>15884841984</v>
      </c>
      <c r="E4">
        <v>-3381405696</v>
      </c>
      <c r="F4">
        <v>16577524736</v>
      </c>
      <c r="G4">
        <v>208655936</v>
      </c>
      <c r="H4">
        <v>0</v>
      </c>
      <c r="I4">
        <v>0</v>
      </c>
      <c r="J4">
        <v>0</v>
      </c>
      <c r="K4">
        <v>-725655360</v>
      </c>
      <c r="L4">
        <v>877748864</v>
      </c>
    </row>
    <row r="5" spans="1:12" x14ac:dyDescent="0.3">
      <c r="A5">
        <v>22501400576</v>
      </c>
      <c r="B5">
        <v>0</v>
      </c>
      <c r="C5">
        <v>0</v>
      </c>
      <c r="D5">
        <v>1542591872</v>
      </c>
      <c r="E5">
        <v>932329536</v>
      </c>
      <c r="F5">
        <v>24947208192</v>
      </c>
      <c r="G5">
        <v>1805482496</v>
      </c>
      <c r="H5">
        <v>0</v>
      </c>
      <c r="I5">
        <v>0</v>
      </c>
      <c r="J5">
        <v>0</v>
      </c>
      <c r="K5">
        <v>518112000</v>
      </c>
      <c r="L5">
        <v>2015550464</v>
      </c>
    </row>
    <row r="6" spans="1:12" x14ac:dyDescent="0.3">
      <c r="A6">
        <v>7894682624</v>
      </c>
      <c r="B6">
        <v>0</v>
      </c>
      <c r="C6">
        <v>72730384</v>
      </c>
      <c r="D6">
        <v>3604671488</v>
      </c>
      <c r="E6">
        <v>-1290773632</v>
      </c>
      <c r="F6">
        <v>9262810112</v>
      </c>
      <c r="G6">
        <v>568320128</v>
      </c>
      <c r="H6">
        <v>0</v>
      </c>
      <c r="I6">
        <v>35575020</v>
      </c>
      <c r="J6">
        <v>0</v>
      </c>
      <c r="K6">
        <v>-473446816</v>
      </c>
      <c r="L6">
        <v>629442048</v>
      </c>
    </row>
    <row r="7" spans="1:12" x14ac:dyDescent="0.3">
      <c r="A7">
        <v>7651854848</v>
      </c>
      <c r="B7">
        <v>0</v>
      </c>
      <c r="C7">
        <v>11000938496</v>
      </c>
      <c r="D7">
        <v>2435868672</v>
      </c>
      <c r="E7">
        <v>-569770112</v>
      </c>
      <c r="F7">
        <v>19999453184</v>
      </c>
      <c r="G7">
        <v>3378721536</v>
      </c>
      <c r="H7">
        <v>0</v>
      </c>
      <c r="I7">
        <v>9201685504</v>
      </c>
      <c r="J7">
        <v>17826446</v>
      </c>
      <c r="K7">
        <v>22480466</v>
      </c>
      <c r="L7">
        <v>14098910208</v>
      </c>
    </row>
    <row r="8" spans="1:12" x14ac:dyDescent="0.3">
      <c r="A8">
        <v>4585581568</v>
      </c>
      <c r="B8">
        <v>0</v>
      </c>
      <c r="C8">
        <v>0</v>
      </c>
      <c r="D8">
        <v>1494867072</v>
      </c>
      <c r="E8">
        <v>3070025984</v>
      </c>
      <c r="F8">
        <v>8784225280</v>
      </c>
      <c r="G8">
        <v>1042347264</v>
      </c>
      <c r="H8">
        <v>0</v>
      </c>
      <c r="I8">
        <v>0</v>
      </c>
      <c r="J8">
        <v>0</v>
      </c>
      <c r="K8">
        <v>2068379648</v>
      </c>
      <c r="L8">
        <v>2166051584</v>
      </c>
    </row>
    <row r="9" spans="1:12" x14ac:dyDescent="0.3">
      <c r="A9">
        <v>202585440</v>
      </c>
      <c r="B9">
        <v>0</v>
      </c>
      <c r="C9">
        <v>23466336256</v>
      </c>
      <c r="D9">
        <v>0</v>
      </c>
      <c r="E9">
        <v>0</v>
      </c>
      <c r="F9">
        <v>24692158464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11344614400</v>
      </c>
      <c r="B11">
        <v>0</v>
      </c>
      <c r="C11">
        <v>0</v>
      </c>
      <c r="D11">
        <v>0</v>
      </c>
      <c r="E11">
        <v>0</v>
      </c>
      <c r="F11">
        <v>14125722624</v>
      </c>
      <c r="G11">
        <v>541134784</v>
      </c>
      <c r="H11">
        <v>0</v>
      </c>
      <c r="I11">
        <v>0</v>
      </c>
      <c r="J11">
        <v>0</v>
      </c>
      <c r="K11">
        <v>0</v>
      </c>
      <c r="L11">
        <v>544250176</v>
      </c>
    </row>
    <row r="12" spans="1:12" x14ac:dyDescent="0.3">
      <c r="A12">
        <v>5567904256</v>
      </c>
      <c r="B12">
        <v>0</v>
      </c>
      <c r="C12">
        <v>0</v>
      </c>
      <c r="D12">
        <v>0</v>
      </c>
      <c r="E12">
        <v>0</v>
      </c>
      <c r="F12">
        <v>6446729728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3">
      <c r="A13">
        <v>10398617600</v>
      </c>
      <c r="B13">
        <v>0</v>
      </c>
      <c r="C13">
        <v>0</v>
      </c>
      <c r="D13">
        <v>0</v>
      </c>
      <c r="E13">
        <v>0</v>
      </c>
      <c r="F13">
        <v>9704786944</v>
      </c>
      <c r="G13">
        <v>384007488</v>
      </c>
      <c r="H13">
        <v>0</v>
      </c>
      <c r="I13">
        <v>0</v>
      </c>
      <c r="J13">
        <v>0</v>
      </c>
      <c r="K13">
        <v>0</v>
      </c>
      <c r="L13">
        <v>358385184</v>
      </c>
    </row>
    <row r="14" spans="1:12" x14ac:dyDescent="0.3">
      <c r="A14">
        <v>694729472</v>
      </c>
      <c r="B14">
        <v>23067803648</v>
      </c>
      <c r="C14">
        <v>0</v>
      </c>
      <c r="D14">
        <v>0</v>
      </c>
      <c r="E14">
        <v>0</v>
      </c>
      <c r="F14">
        <v>20718981120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15731435520</v>
      </c>
      <c r="B15">
        <v>0</v>
      </c>
      <c r="C15">
        <v>1367146752</v>
      </c>
      <c r="D15">
        <v>0</v>
      </c>
      <c r="E15">
        <v>-959414720</v>
      </c>
      <c r="F15">
        <v>16230571008</v>
      </c>
      <c r="G15">
        <v>83108888</v>
      </c>
      <c r="H15">
        <v>0</v>
      </c>
      <c r="I15">
        <v>27550416</v>
      </c>
      <c r="J15">
        <v>0</v>
      </c>
      <c r="K15">
        <v>-959414720</v>
      </c>
      <c r="L15">
        <v>56347480</v>
      </c>
    </row>
    <row r="16" spans="1:12" x14ac:dyDescent="0.3">
      <c r="A16">
        <v>25541505024</v>
      </c>
      <c r="B16">
        <v>0</v>
      </c>
      <c r="C16">
        <v>0</v>
      </c>
      <c r="D16">
        <v>0</v>
      </c>
      <c r="E16">
        <v>0</v>
      </c>
      <c r="F16">
        <v>26410299392</v>
      </c>
      <c r="G16">
        <v>498356416</v>
      </c>
      <c r="H16">
        <v>0</v>
      </c>
      <c r="I16">
        <v>0</v>
      </c>
      <c r="J16">
        <v>0</v>
      </c>
      <c r="K16">
        <v>0</v>
      </c>
      <c r="L16">
        <v>491684672</v>
      </c>
    </row>
    <row r="17" spans="1:12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</sheetData>
  <phoneticPr fontId="0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AD469-6089-48EC-9DEB-DFE0C322D702}">
  <dimension ref="B2:G15"/>
  <sheetViews>
    <sheetView topLeftCell="A9" workbookViewId="0">
      <selection activeCell="A19" sqref="A19:O65"/>
    </sheetView>
  </sheetViews>
  <sheetFormatPr defaultColWidth="11" defaultRowHeight="13" x14ac:dyDescent="0.3"/>
  <cols>
    <col min="1" max="1" width="11" customWidth="1"/>
    <col min="2" max="2" width="12" style="361" customWidth="1"/>
    <col min="3" max="3" width="50.88671875" customWidth="1"/>
    <col min="4" max="4" width="30" customWidth="1"/>
  </cols>
  <sheetData>
    <row r="2" spans="2:7" x14ac:dyDescent="0.3">
      <c r="B2" s="385" t="s">
        <v>502</v>
      </c>
      <c r="C2" s="385" t="s">
        <v>503</v>
      </c>
    </row>
    <row r="3" spans="2:7" s="363" customFormat="1" ht="26" x14ac:dyDescent="0.3">
      <c r="B3" s="424">
        <v>0.3</v>
      </c>
      <c r="C3" s="384" t="s">
        <v>504</v>
      </c>
    </row>
    <row r="4" spans="2:7" s="363" customFormat="1" ht="26" x14ac:dyDescent="0.3">
      <c r="B4" s="424">
        <v>0.6</v>
      </c>
      <c r="C4" s="384" t="s">
        <v>520</v>
      </c>
    </row>
    <row r="5" spans="2:7" s="363" customFormat="1" ht="26" x14ac:dyDescent="0.3">
      <c r="B5" s="424">
        <v>0.3</v>
      </c>
      <c r="C5" s="384" t="s">
        <v>714</v>
      </c>
    </row>
    <row r="6" spans="2:7" s="363" customFormat="1" x14ac:dyDescent="0.3">
      <c r="B6" s="424">
        <v>0.3</v>
      </c>
      <c r="C6" s="384" t="s">
        <v>516</v>
      </c>
    </row>
    <row r="7" spans="2:7" ht="27.75" customHeight="1" x14ac:dyDescent="0.3">
      <c r="B7" s="424">
        <v>0.2</v>
      </c>
      <c r="C7" s="384" t="s">
        <v>387</v>
      </c>
      <c r="D7" s="363"/>
      <c r="E7" s="363"/>
      <c r="F7" s="363"/>
      <c r="G7" s="363"/>
    </row>
    <row r="8" spans="2:7" x14ac:dyDescent="0.3">
      <c r="B8" s="836" t="s">
        <v>519</v>
      </c>
      <c r="C8" s="836"/>
    </row>
    <row r="9" spans="2:7" x14ac:dyDescent="0.3">
      <c r="B9" s="424">
        <v>0</v>
      </c>
      <c r="C9" s="383" t="s">
        <v>492</v>
      </c>
    </row>
    <row r="10" spans="2:7" x14ac:dyDescent="0.3">
      <c r="B10" s="424">
        <v>0.3</v>
      </c>
      <c r="C10" s="383" t="s">
        <v>518</v>
      </c>
    </row>
    <row r="11" spans="2:7" x14ac:dyDescent="0.3">
      <c r="B11" s="424">
        <v>0.7</v>
      </c>
      <c r="C11" s="383" t="s">
        <v>517</v>
      </c>
    </row>
    <row r="12" spans="2:7" ht="26" x14ac:dyDescent="0.3">
      <c r="B12" s="424">
        <v>0.7</v>
      </c>
      <c r="C12" s="386" t="s">
        <v>170</v>
      </c>
    </row>
    <row r="13" spans="2:7" x14ac:dyDescent="0.3">
      <c r="B13" s="424">
        <v>0.7</v>
      </c>
      <c r="C13" s="383" t="s">
        <v>713</v>
      </c>
    </row>
    <row r="14" spans="2:7" x14ac:dyDescent="0.3">
      <c r="B14" s="424">
        <v>0.3</v>
      </c>
      <c r="C14" s="383" t="s">
        <v>715</v>
      </c>
    </row>
    <row r="15" spans="2:7" x14ac:dyDescent="0.3">
      <c r="B15" s="424">
        <v>0.2</v>
      </c>
      <c r="C15" s="383" t="s">
        <v>716</v>
      </c>
    </row>
  </sheetData>
  <mergeCells count="1">
    <mergeCell ref="B8:C8"/>
  </mergeCells>
  <phoneticPr fontId="0" type="noConversion"/>
  <pageMargins left="0.75" right="0.75" top="1" bottom="1" header="0" footer="0"/>
  <pageSetup orientation="portrait" horizontalDpi="1200" verticalDpi="1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0829D-092A-4A62-9520-AAE4F4D32261}">
  <dimension ref="B1:R40"/>
  <sheetViews>
    <sheetView topLeftCell="A4" workbookViewId="0">
      <selection activeCell="I10" sqref="I10"/>
    </sheetView>
  </sheetViews>
  <sheetFormatPr defaultColWidth="11" defaultRowHeight="13" x14ac:dyDescent="0.3"/>
  <cols>
    <col min="1" max="4" width="11" customWidth="1"/>
    <col min="5" max="5" width="13" customWidth="1"/>
  </cols>
  <sheetData>
    <row r="1" spans="2:18" x14ac:dyDescent="0.3">
      <c r="B1" t="s">
        <v>772</v>
      </c>
    </row>
    <row r="3" spans="2:18" x14ac:dyDescent="0.3">
      <c r="J3" t="s">
        <v>749</v>
      </c>
      <c r="P3" s="291"/>
    </row>
    <row r="4" spans="2:18" x14ac:dyDescent="0.3">
      <c r="C4" t="s">
        <v>740</v>
      </c>
      <c r="K4" t="s">
        <v>391</v>
      </c>
      <c r="N4" t="s">
        <v>495</v>
      </c>
    </row>
    <row r="5" spans="2:18" x14ac:dyDescent="0.3">
      <c r="D5" s="361" t="s">
        <v>735</v>
      </c>
      <c r="E5" s="361" t="s">
        <v>776</v>
      </c>
      <c r="F5" s="837" t="s">
        <v>737</v>
      </c>
      <c r="G5" s="837"/>
      <c r="H5" s="837"/>
      <c r="I5" s="361"/>
      <c r="J5" t="s">
        <v>748</v>
      </c>
      <c r="K5" t="s">
        <v>392</v>
      </c>
      <c r="M5" t="s">
        <v>741</v>
      </c>
      <c r="N5" t="s">
        <v>741</v>
      </c>
      <c r="O5" t="s">
        <v>92</v>
      </c>
      <c r="Q5" t="s">
        <v>744</v>
      </c>
      <c r="R5" t="s">
        <v>746</v>
      </c>
    </row>
    <row r="6" spans="2:18" x14ac:dyDescent="0.3">
      <c r="D6" s="361" t="s">
        <v>736</v>
      </c>
      <c r="E6" s="361"/>
      <c r="F6" s="361" t="s">
        <v>736</v>
      </c>
      <c r="G6" s="361" t="s">
        <v>738</v>
      </c>
      <c r="H6" s="361" t="s">
        <v>739</v>
      </c>
      <c r="I6" s="361"/>
      <c r="K6" t="s">
        <v>393</v>
      </c>
      <c r="L6" t="s">
        <v>547</v>
      </c>
      <c r="M6" t="s">
        <v>742</v>
      </c>
      <c r="N6" t="s">
        <v>743</v>
      </c>
      <c r="O6" t="s">
        <v>495</v>
      </c>
      <c r="P6" t="s">
        <v>491</v>
      </c>
      <c r="Q6" t="s">
        <v>745</v>
      </c>
      <c r="R6" t="s">
        <v>747</v>
      </c>
    </row>
    <row r="7" spans="2:18" x14ac:dyDescent="0.3">
      <c r="C7">
        <v>1991</v>
      </c>
      <c r="D7">
        <v>13928319</v>
      </c>
      <c r="E7">
        <v>7800039</v>
      </c>
      <c r="F7">
        <v>6128280</v>
      </c>
      <c r="G7">
        <v>2804717</v>
      </c>
      <c r="H7">
        <v>3323563</v>
      </c>
      <c r="J7">
        <v>1991</v>
      </c>
      <c r="K7">
        <v>26685612</v>
      </c>
      <c r="L7">
        <v>8023166</v>
      </c>
      <c r="M7">
        <v>1818859</v>
      </c>
      <c r="N7">
        <v>287922</v>
      </c>
      <c r="O7" s="291">
        <v>538573</v>
      </c>
      <c r="P7">
        <v>2645354</v>
      </c>
      <c r="Q7">
        <v>1951964</v>
      </c>
      <c r="R7">
        <v>14065128</v>
      </c>
    </row>
    <row r="8" spans="2:18" x14ac:dyDescent="0.3">
      <c r="C8">
        <v>1992</v>
      </c>
      <c r="D8">
        <v>14060029</v>
      </c>
      <c r="E8">
        <v>7867304</v>
      </c>
      <c r="F8">
        <v>6192725</v>
      </c>
      <c r="G8">
        <v>2592196</v>
      </c>
      <c r="H8">
        <v>3600529</v>
      </c>
      <c r="J8">
        <v>1992</v>
      </c>
      <c r="K8">
        <v>44953458</v>
      </c>
      <c r="L8">
        <v>11888594</v>
      </c>
      <c r="M8">
        <v>3460755</v>
      </c>
      <c r="N8">
        <v>612260</v>
      </c>
      <c r="O8" s="291">
        <v>708357</v>
      </c>
      <c r="P8">
        <v>4781372</v>
      </c>
      <c r="Q8">
        <v>2930721</v>
      </c>
      <c r="R8">
        <v>25352771</v>
      </c>
    </row>
    <row r="9" spans="2:18" x14ac:dyDescent="0.3">
      <c r="C9">
        <v>1993</v>
      </c>
      <c r="D9">
        <v>15627057</v>
      </c>
      <c r="E9">
        <v>9118650</v>
      </c>
      <c r="F9">
        <v>6508407</v>
      </c>
      <c r="G9">
        <v>2655950</v>
      </c>
      <c r="H9">
        <v>3852457</v>
      </c>
      <c r="I9" t="s">
        <v>971</v>
      </c>
      <c r="J9">
        <v>1993</v>
      </c>
      <c r="K9">
        <v>69261769</v>
      </c>
      <c r="L9">
        <v>17310854</v>
      </c>
      <c r="M9">
        <v>5187304</v>
      </c>
      <c r="N9">
        <v>1171066</v>
      </c>
      <c r="O9" s="291">
        <v>805623</v>
      </c>
      <c r="P9">
        <v>7163993</v>
      </c>
      <c r="Q9">
        <v>4335860</v>
      </c>
      <c r="R9">
        <v>40451061</v>
      </c>
    </row>
    <row r="10" spans="2:18" x14ac:dyDescent="0.3">
      <c r="C10">
        <v>1994</v>
      </c>
      <c r="D10">
        <v>20900960</v>
      </c>
      <c r="E10">
        <v>12052766</v>
      </c>
      <c r="F10">
        <v>8848194</v>
      </c>
      <c r="G10">
        <v>3246392</v>
      </c>
      <c r="H10">
        <v>5601802</v>
      </c>
      <c r="I10">
        <v>2773562235</v>
      </c>
      <c r="J10">
        <v>1994</v>
      </c>
      <c r="K10">
        <v>98577444</v>
      </c>
      <c r="L10">
        <v>24765518</v>
      </c>
      <c r="M10">
        <v>7888683</v>
      </c>
      <c r="N10">
        <v>1714832</v>
      </c>
      <c r="O10" s="291">
        <v>1133570</v>
      </c>
      <c r="P10">
        <v>10737085</v>
      </c>
      <c r="Q10">
        <v>5772678</v>
      </c>
      <c r="R10">
        <v>57302163</v>
      </c>
    </row>
    <row r="11" spans="2:18" x14ac:dyDescent="0.3">
      <c r="C11">
        <v>1995</v>
      </c>
      <c r="D11">
        <v>25467821</v>
      </c>
      <c r="E11">
        <v>14202718</v>
      </c>
      <c r="F11">
        <v>11265103</v>
      </c>
      <c r="G11">
        <v>3740818</v>
      </c>
      <c r="H11">
        <v>7524285</v>
      </c>
      <c r="J11">
        <v>1995</v>
      </c>
      <c r="K11">
        <v>120858187</v>
      </c>
      <c r="L11">
        <v>30435812</v>
      </c>
      <c r="M11">
        <v>9733644</v>
      </c>
      <c r="N11">
        <v>2260078</v>
      </c>
      <c r="O11" s="291">
        <v>1350862</v>
      </c>
      <c r="P11">
        <v>13344584</v>
      </c>
      <c r="Q11">
        <v>7531340</v>
      </c>
      <c r="R11">
        <v>69546451</v>
      </c>
    </row>
    <row r="12" spans="2:18" x14ac:dyDescent="0.3">
      <c r="C12">
        <v>1996</v>
      </c>
      <c r="D12">
        <v>24736751</v>
      </c>
      <c r="E12">
        <v>13799638</v>
      </c>
      <c r="F12">
        <v>10937113</v>
      </c>
      <c r="G12">
        <v>3251545</v>
      </c>
      <c r="H12">
        <v>7685568</v>
      </c>
      <c r="J12">
        <v>1996</v>
      </c>
      <c r="K12">
        <v>136928814</v>
      </c>
      <c r="L12">
        <v>34149365</v>
      </c>
      <c r="M12">
        <v>10695022</v>
      </c>
      <c r="N12">
        <v>2318213</v>
      </c>
      <c r="O12" s="291">
        <v>1524240</v>
      </c>
      <c r="P12">
        <v>14537475</v>
      </c>
      <c r="Q12">
        <v>8920100</v>
      </c>
      <c r="R12">
        <v>79321874</v>
      </c>
    </row>
    <row r="13" spans="2:18" x14ac:dyDescent="0.3">
      <c r="C13">
        <v>1997</v>
      </c>
      <c r="D13">
        <v>28518540</v>
      </c>
      <c r="E13">
        <v>15855112</v>
      </c>
      <c r="F13">
        <v>12663428</v>
      </c>
      <c r="G13">
        <v>3616249</v>
      </c>
      <c r="H13">
        <v>9047179</v>
      </c>
      <c r="J13">
        <v>1997</v>
      </c>
      <c r="K13">
        <v>157274463</v>
      </c>
      <c r="L13">
        <v>38063841</v>
      </c>
      <c r="M13">
        <v>12366856</v>
      </c>
      <c r="N13">
        <v>2590722</v>
      </c>
      <c r="O13" s="291">
        <v>1499411</v>
      </c>
      <c r="P13">
        <v>16456989</v>
      </c>
      <c r="Q13">
        <v>10301376</v>
      </c>
      <c r="R13">
        <v>92452257</v>
      </c>
    </row>
    <row r="14" spans="2:18" x14ac:dyDescent="0.3">
      <c r="C14">
        <v>1998</v>
      </c>
      <c r="D14">
        <v>28109847</v>
      </c>
      <c r="E14">
        <v>15977411</v>
      </c>
      <c r="F14">
        <v>12132436</v>
      </c>
      <c r="G14">
        <v>3649927</v>
      </c>
      <c r="H14">
        <v>8482509</v>
      </c>
      <c r="J14">
        <v>1998</v>
      </c>
      <c r="K14">
        <v>165948914</v>
      </c>
      <c r="L14">
        <v>40779893</v>
      </c>
      <c r="M14">
        <v>12836120</v>
      </c>
      <c r="N14">
        <v>2959093</v>
      </c>
      <c r="O14" s="291">
        <v>1349462</v>
      </c>
      <c r="P14">
        <v>17144675</v>
      </c>
      <c r="Q14">
        <v>11470723</v>
      </c>
      <c r="R14">
        <v>96553623</v>
      </c>
    </row>
    <row r="15" spans="2:18" x14ac:dyDescent="0.3">
      <c r="C15">
        <v>1999</v>
      </c>
      <c r="D15">
        <v>24972040</v>
      </c>
      <c r="E15">
        <v>14369728</v>
      </c>
      <c r="F15">
        <v>10602312</v>
      </c>
      <c r="G15">
        <v>3150943</v>
      </c>
      <c r="H15">
        <v>7451369</v>
      </c>
      <c r="J15">
        <v>1999</v>
      </c>
      <c r="K15">
        <v>173957437</v>
      </c>
      <c r="L15">
        <v>43103232</v>
      </c>
      <c r="M15">
        <v>12819439</v>
      </c>
      <c r="N15">
        <v>2874943</v>
      </c>
      <c r="O15" s="291">
        <v>1259649</v>
      </c>
      <c r="P15">
        <v>16954031</v>
      </c>
      <c r="Q15">
        <v>11978979</v>
      </c>
      <c r="R15">
        <v>101921195</v>
      </c>
    </row>
    <row r="16" spans="2:18" x14ac:dyDescent="0.3">
      <c r="C16">
        <v>2000</v>
      </c>
      <c r="D16">
        <v>23741603</v>
      </c>
      <c r="E16">
        <v>13361679</v>
      </c>
      <c r="F16">
        <v>10379924</v>
      </c>
      <c r="G16">
        <v>3139198</v>
      </c>
      <c r="H16">
        <v>7240726</v>
      </c>
      <c r="J16">
        <v>2000</v>
      </c>
      <c r="K16">
        <v>185281382</v>
      </c>
      <c r="L16">
        <v>44952916</v>
      </c>
      <c r="M16">
        <v>13181855</v>
      </c>
      <c r="N16">
        <v>3012433</v>
      </c>
      <c r="O16" s="291">
        <v>1322264</v>
      </c>
      <c r="P16">
        <v>17516552</v>
      </c>
      <c r="Q16">
        <v>13202532</v>
      </c>
      <c r="R16">
        <v>109402901</v>
      </c>
    </row>
    <row r="17" spans="3:18" x14ac:dyDescent="0.3">
      <c r="C17">
        <v>2001</v>
      </c>
      <c r="D17">
        <v>21784646</v>
      </c>
      <c r="E17">
        <v>12438878</v>
      </c>
      <c r="F17">
        <v>9345768</v>
      </c>
      <c r="G17">
        <v>3147308</v>
      </c>
      <c r="H17">
        <v>6198460</v>
      </c>
      <c r="J17">
        <v>2001</v>
      </c>
      <c r="K17">
        <v>188172038</v>
      </c>
      <c r="L17">
        <v>45936391</v>
      </c>
      <c r="M17">
        <v>13146264</v>
      </c>
      <c r="N17">
        <v>2755036</v>
      </c>
      <c r="O17" s="291">
        <v>1214877</v>
      </c>
      <c r="P17">
        <v>17116177</v>
      </c>
      <c r="Q17">
        <v>13279663</v>
      </c>
      <c r="R17">
        <v>110990684</v>
      </c>
    </row>
    <row r="18" spans="3:18" x14ac:dyDescent="0.3">
      <c r="C18">
        <v>2002</v>
      </c>
      <c r="D18">
        <v>21627587</v>
      </c>
      <c r="E18">
        <v>13412841</v>
      </c>
      <c r="F18">
        <v>8214746</v>
      </c>
      <c r="G18">
        <v>3068471</v>
      </c>
      <c r="H18">
        <v>5146275</v>
      </c>
      <c r="J18">
        <v>2002</v>
      </c>
      <c r="K18">
        <v>198436926</v>
      </c>
      <c r="L18">
        <v>47667918</v>
      </c>
      <c r="M18">
        <v>14364249</v>
      </c>
      <c r="N18">
        <v>2465821</v>
      </c>
      <c r="O18" s="291">
        <v>629032</v>
      </c>
      <c r="P18">
        <v>17459102</v>
      </c>
      <c r="Q18">
        <v>13608858</v>
      </c>
      <c r="R18">
        <v>119701048</v>
      </c>
    </row>
    <row r="19" spans="3:18" x14ac:dyDescent="0.3">
      <c r="C19">
        <v>2003</v>
      </c>
      <c r="D19" s="210">
        <v>22788888</v>
      </c>
      <c r="E19">
        <v>13952812</v>
      </c>
      <c r="F19">
        <v>8836076</v>
      </c>
      <c r="G19">
        <v>3097253</v>
      </c>
      <c r="H19">
        <v>5738823</v>
      </c>
      <c r="J19">
        <v>2003</v>
      </c>
      <c r="K19">
        <v>210747423</v>
      </c>
      <c r="L19">
        <v>49949288</v>
      </c>
      <c r="M19">
        <v>16096841</v>
      </c>
      <c r="N19">
        <v>2549669</v>
      </c>
      <c r="O19" s="291">
        <v>790984</v>
      </c>
      <c r="P19">
        <v>19437494</v>
      </c>
      <c r="Q19">
        <v>15110519</v>
      </c>
      <c r="R19">
        <v>126250122</v>
      </c>
    </row>
    <row r="20" spans="3:18" x14ac:dyDescent="0.3">
      <c r="C20">
        <v>2004</v>
      </c>
      <c r="J20">
        <v>2004</v>
      </c>
      <c r="O20" s="291"/>
    </row>
    <row r="21" spans="3:18" x14ac:dyDescent="0.3">
      <c r="O21" s="291"/>
    </row>
    <row r="22" spans="3:18" x14ac:dyDescent="0.3">
      <c r="K22" t="s">
        <v>391</v>
      </c>
      <c r="N22" t="s">
        <v>495</v>
      </c>
    </row>
    <row r="23" spans="3:18" x14ac:dyDescent="0.3">
      <c r="D23" s="361" t="s">
        <v>735</v>
      </c>
      <c r="E23" s="361" t="s">
        <v>776</v>
      </c>
      <c r="F23" s="837" t="s">
        <v>737</v>
      </c>
      <c r="G23" s="837"/>
      <c r="H23" s="837"/>
      <c r="I23" s="361"/>
      <c r="J23" t="s">
        <v>750</v>
      </c>
      <c r="K23" t="s">
        <v>392</v>
      </c>
      <c r="M23" t="s">
        <v>741</v>
      </c>
      <c r="N23" t="s">
        <v>741</v>
      </c>
      <c r="O23" t="s">
        <v>92</v>
      </c>
      <c r="Q23" t="s">
        <v>744</v>
      </c>
      <c r="R23" t="s">
        <v>746</v>
      </c>
    </row>
    <row r="24" spans="3:18" x14ac:dyDescent="0.3">
      <c r="C24" t="s">
        <v>748</v>
      </c>
      <c r="D24" s="361" t="s">
        <v>736</v>
      </c>
      <c r="E24" s="361"/>
      <c r="F24" s="361" t="s">
        <v>736</v>
      </c>
      <c r="G24" s="361" t="s">
        <v>738</v>
      </c>
      <c r="H24" s="361" t="s">
        <v>739</v>
      </c>
      <c r="I24" s="361"/>
      <c r="K24" t="s">
        <v>393</v>
      </c>
      <c r="L24" t="s">
        <v>547</v>
      </c>
      <c r="M24" t="s">
        <v>742</v>
      </c>
      <c r="N24" t="s">
        <v>743</v>
      </c>
      <c r="O24" t="s">
        <v>495</v>
      </c>
      <c r="P24" t="s">
        <v>491</v>
      </c>
      <c r="Q24" t="s">
        <v>745</v>
      </c>
      <c r="R24" t="s">
        <v>747</v>
      </c>
    </row>
    <row r="25" spans="3:18" x14ac:dyDescent="0.3">
      <c r="C25">
        <v>1991</v>
      </c>
      <c r="D25">
        <v>4416843</v>
      </c>
      <c r="E25">
        <v>2299993</v>
      </c>
      <c r="F25">
        <v>2116850</v>
      </c>
      <c r="G25">
        <v>1003480</v>
      </c>
      <c r="H25">
        <v>1113370</v>
      </c>
      <c r="J25">
        <v>1991</v>
      </c>
      <c r="K25" s="362">
        <f t="shared" ref="K25:R37" si="0">+K7/$K7</f>
        <v>1</v>
      </c>
      <c r="L25" s="362">
        <f t="shared" si="0"/>
        <v>0.30065512456675153</v>
      </c>
      <c r="M25" s="362">
        <f t="shared" si="0"/>
        <v>6.8158789088292218E-2</v>
      </c>
      <c r="N25" s="362">
        <f t="shared" si="0"/>
        <v>1.0789409663904279E-2</v>
      </c>
      <c r="O25" s="362">
        <f t="shared" si="0"/>
        <v>2.0182149092177464E-2</v>
      </c>
      <c r="P25" s="362">
        <f t="shared" si="0"/>
        <v>9.9130347844373967E-2</v>
      </c>
      <c r="Q25" s="362">
        <f t="shared" si="0"/>
        <v>7.3146682939105909E-2</v>
      </c>
      <c r="R25" s="362">
        <f t="shared" si="0"/>
        <v>0.52706784464976852</v>
      </c>
    </row>
    <row r="26" spans="3:18" x14ac:dyDescent="0.3">
      <c r="C26">
        <v>1992</v>
      </c>
      <c r="D26">
        <v>7405141</v>
      </c>
      <c r="E26">
        <v>3872303</v>
      </c>
      <c r="F26">
        <v>3532838</v>
      </c>
      <c r="G26">
        <v>1598483</v>
      </c>
      <c r="H26">
        <v>1934355</v>
      </c>
      <c r="J26">
        <v>1992</v>
      </c>
      <c r="K26" s="362">
        <f t="shared" si="0"/>
        <v>1</v>
      </c>
      <c r="L26" s="362">
        <f t="shared" si="0"/>
        <v>0.26446450459940146</v>
      </c>
      <c r="M26" s="362">
        <f t="shared" si="0"/>
        <v>7.6985289985922772E-2</v>
      </c>
      <c r="N26" s="362">
        <f t="shared" si="0"/>
        <v>1.3619864349478965E-2</v>
      </c>
      <c r="O26" s="362">
        <f t="shared" si="0"/>
        <v>1.5757564190056302E-2</v>
      </c>
      <c r="P26" s="362">
        <f t="shared" si="0"/>
        <v>0.10636271852545805</v>
      </c>
      <c r="Q26" s="362">
        <f t="shared" si="0"/>
        <v>6.5194561895549841E-2</v>
      </c>
      <c r="R26" s="362">
        <f t="shared" si="0"/>
        <v>0.56397821497959066</v>
      </c>
    </row>
    <row r="27" spans="3:18" x14ac:dyDescent="0.3">
      <c r="C27">
        <v>1993</v>
      </c>
      <c r="D27">
        <v>12696808</v>
      </c>
      <c r="E27">
        <v>7013243</v>
      </c>
      <c r="F27">
        <v>5683565</v>
      </c>
      <c r="G27">
        <v>2298318</v>
      </c>
      <c r="H27">
        <v>3385247</v>
      </c>
      <c r="J27">
        <v>1993</v>
      </c>
      <c r="K27" s="362">
        <f t="shared" si="0"/>
        <v>1</v>
      </c>
      <c r="L27" s="362">
        <f t="shared" si="0"/>
        <v>0.24993375494062245</v>
      </c>
      <c r="M27" s="362">
        <f t="shared" si="0"/>
        <v>7.4894188740688969E-2</v>
      </c>
      <c r="N27" s="362">
        <f t="shared" si="0"/>
        <v>1.6907826884987591E-2</v>
      </c>
      <c r="O27" s="362">
        <f t="shared" si="0"/>
        <v>1.1631568347611797E-2</v>
      </c>
      <c r="P27" s="362">
        <f t="shared" si="0"/>
        <v>0.10343358397328835</v>
      </c>
      <c r="Q27" s="362">
        <f t="shared" si="0"/>
        <v>6.2601057735039947E-2</v>
      </c>
      <c r="R27" s="362">
        <f t="shared" si="0"/>
        <v>0.58403158891306983</v>
      </c>
    </row>
    <row r="28" spans="3:18" x14ac:dyDescent="0.3">
      <c r="C28">
        <v>1994</v>
      </c>
      <c r="D28">
        <v>20900960</v>
      </c>
      <c r="E28">
        <v>12052766</v>
      </c>
      <c r="F28">
        <v>8848194</v>
      </c>
      <c r="G28">
        <v>3246392</v>
      </c>
      <c r="H28">
        <v>5601802</v>
      </c>
      <c r="J28">
        <v>1994</v>
      </c>
      <c r="K28" s="362">
        <f t="shared" si="0"/>
        <v>1</v>
      </c>
      <c r="L28" s="362">
        <f t="shared" si="0"/>
        <v>0.25122905398115214</v>
      </c>
      <c r="M28" s="362">
        <f t="shared" si="0"/>
        <v>8.0025233764429923E-2</v>
      </c>
      <c r="N28" s="362">
        <f t="shared" si="0"/>
        <v>1.7395784780136925E-2</v>
      </c>
      <c r="O28" s="362">
        <f t="shared" si="0"/>
        <v>1.1499283750956253E-2</v>
      </c>
      <c r="P28" s="362">
        <f t="shared" si="0"/>
        <v>0.1089203022955231</v>
      </c>
      <c r="Q28" s="362">
        <f t="shared" si="0"/>
        <v>5.8559826322946658E-2</v>
      </c>
      <c r="R28" s="362">
        <f t="shared" si="0"/>
        <v>0.58129081740037813</v>
      </c>
    </row>
    <row r="29" spans="3:18" x14ac:dyDescent="0.3">
      <c r="C29">
        <v>1995</v>
      </c>
      <c r="D29">
        <v>29094871</v>
      </c>
      <c r="E29">
        <v>17183944</v>
      </c>
      <c r="F29">
        <v>11910927</v>
      </c>
      <c r="G29">
        <v>4048598</v>
      </c>
      <c r="H29">
        <v>7862329</v>
      </c>
      <c r="J29">
        <v>1995</v>
      </c>
      <c r="K29" s="362">
        <f t="shared" si="0"/>
        <v>1</v>
      </c>
      <c r="L29" s="362">
        <f t="shared" si="0"/>
        <v>0.25183078412387572</v>
      </c>
      <c r="M29" s="362">
        <f t="shared" si="0"/>
        <v>8.0537729727817281E-2</v>
      </c>
      <c r="N29" s="362">
        <f t="shared" si="0"/>
        <v>1.87002474230397E-2</v>
      </c>
      <c r="O29" s="362">
        <f t="shared" si="0"/>
        <v>1.1177248588049728E-2</v>
      </c>
      <c r="P29" s="362">
        <f t="shared" si="0"/>
        <v>0.11041522573890671</v>
      </c>
      <c r="Q29" s="362">
        <f t="shared" si="0"/>
        <v>6.2315513635828414E-2</v>
      </c>
      <c r="R29" s="362">
        <f t="shared" si="0"/>
        <v>0.57543847650138924</v>
      </c>
    </row>
    <row r="30" spans="3:18" x14ac:dyDescent="0.3">
      <c r="C30">
        <v>1996</v>
      </c>
      <c r="D30">
        <v>30746678</v>
      </c>
      <c r="E30">
        <v>18153950</v>
      </c>
      <c r="F30">
        <v>12592728</v>
      </c>
      <c r="G30">
        <v>4032605</v>
      </c>
      <c r="H30">
        <v>8560123</v>
      </c>
      <c r="J30">
        <v>1996</v>
      </c>
      <c r="K30" s="362">
        <f t="shared" si="0"/>
        <v>1</v>
      </c>
      <c r="L30" s="362">
        <f t="shared" si="0"/>
        <v>0.24939502506755079</v>
      </c>
      <c r="M30" s="362">
        <f t="shared" si="0"/>
        <v>7.8106438576178716E-2</v>
      </c>
      <c r="N30" s="362">
        <f t="shared" si="0"/>
        <v>1.6930059731620841E-2</v>
      </c>
      <c r="O30" s="362">
        <f t="shared" si="0"/>
        <v>1.1131623472616948E-2</v>
      </c>
      <c r="P30" s="362">
        <f t="shared" si="0"/>
        <v>0.1061681217804165</v>
      </c>
      <c r="Q30" s="362">
        <f t="shared" si="0"/>
        <v>6.5144068216350728E-2</v>
      </c>
      <c r="R30" s="362">
        <f t="shared" si="0"/>
        <v>0.57929278493568204</v>
      </c>
    </row>
    <row r="31" spans="3:18" x14ac:dyDescent="0.3">
      <c r="C31">
        <v>1997</v>
      </c>
      <c r="D31">
        <v>37472239</v>
      </c>
      <c r="E31">
        <v>22006132</v>
      </c>
      <c r="F31">
        <v>15466107</v>
      </c>
      <c r="G31">
        <v>4812357</v>
      </c>
      <c r="H31">
        <v>10653750</v>
      </c>
      <c r="J31">
        <v>1997</v>
      </c>
      <c r="K31" s="362">
        <f t="shared" si="0"/>
        <v>1</v>
      </c>
      <c r="L31" s="362">
        <f t="shared" si="0"/>
        <v>0.24202175149057734</v>
      </c>
      <c r="M31" s="362">
        <f t="shared" si="0"/>
        <v>7.8632320620290408E-2</v>
      </c>
      <c r="N31" s="362">
        <f t="shared" si="0"/>
        <v>1.647261704527327E-2</v>
      </c>
      <c r="O31" s="362">
        <f t="shared" si="0"/>
        <v>9.533721949506831E-3</v>
      </c>
      <c r="P31" s="362">
        <f t="shared" si="0"/>
        <v>0.1046386596150705</v>
      </c>
      <c r="Q31" s="362">
        <f t="shared" si="0"/>
        <v>6.5499355734567027E-2</v>
      </c>
      <c r="R31" s="362">
        <f t="shared" si="0"/>
        <v>0.58784023315978517</v>
      </c>
    </row>
    <row r="32" spans="3:18" x14ac:dyDescent="0.3">
      <c r="C32">
        <v>1998</v>
      </c>
      <c r="D32">
        <v>39162976</v>
      </c>
      <c r="E32">
        <v>23655434</v>
      </c>
      <c r="F32">
        <v>15507542</v>
      </c>
      <c r="G32">
        <v>5092004</v>
      </c>
      <c r="H32">
        <v>10415538</v>
      </c>
      <c r="J32">
        <v>1998</v>
      </c>
      <c r="K32" s="362">
        <f t="shared" si="0"/>
        <v>1</v>
      </c>
      <c r="L32" s="362">
        <f t="shared" si="0"/>
        <v>0.24573763103987531</v>
      </c>
      <c r="M32" s="362">
        <f t="shared" si="0"/>
        <v>7.7349828273055171E-2</v>
      </c>
      <c r="N32" s="362">
        <f t="shared" si="0"/>
        <v>1.783134898972584E-2</v>
      </c>
      <c r="O32" s="362">
        <f t="shared" si="0"/>
        <v>8.1317916910260708E-3</v>
      </c>
      <c r="P32" s="362">
        <f t="shared" si="0"/>
        <v>0.10331296895380708</v>
      </c>
      <c r="Q32" s="362">
        <f t="shared" si="0"/>
        <v>6.9122013055174319E-2</v>
      </c>
      <c r="R32" s="362">
        <f t="shared" si="0"/>
        <v>0.58182738695114333</v>
      </c>
    </row>
    <row r="33" spans="3:18" x14ac:dyDescent="0.3">
      <c r="C33">
        <v>1999</v>
      </c>
      <c r="D33">
        <v>37867359</v>
      </c>
      <c r="E33">
        <v>22495488</v>
      </c>
      <c r="F33">
        <v>15371871</v>
      </c>
      <c r="G33">
        <v>4768100</v>
      </c>
      <c r="H33">
        <v>10603771</v>
      </c>
      <c r="J33">
        <v>1999</v>
      </c>
      <c r="K33" s="362">
        <f t="shared" si="0"/>
        <v>1</v>
      </c>
      <c r="L33" s="362">
        <f t="shared" si="0"/>
        <v>0.24778033491031487</v>
      </c>
      <c r="M33" s="362">
        <f t="shared" si="0"/>
        <v>7.3692963181562626E-2</v>
      </c>
      <c r="N33" s="362">
        <f t="shared" si="0"/>
        <v>1.6526703598191091E-2</v>
      </c>
      <c r="O33" s="362">
        <f t="shared" si="0"/>
        <v>7.2411333583858213E-3</v>
      </c>
      <c r="P33" s="362">
        <f t="shared" si="0"/>
        <v>9.7460800138139542E-2</v>
      </c>
      <c r="Q33" s="362">
        <f t="shared" si="0"/>
        <v>6.8861551461004797E-2</v>
      </c>
      <c r="R33" s="362">
        <f t="shared" si="0"/>
        <v>0.58589731349054075</v>
      </c>
    </row>
    <row r="34" spans="3:18" x14ac:dyDescent="0.3">
      <c r="C34">
        <v>2000</v>
      </c>
      <c r="D34">
        <v>37610481</v>
      </c>
      <c r="E34">
        <v>22016881</v>
      </c>
      <c r="F34">
        <v>15593600</v>
      </c>
      <c r="G34">
        <v>4891298</v>
      </c>
      <c r="H34">
        <v>10702302</v>
      </c>
      <c r="J34">
        <v>2000</v>
      </c>
      <c r="K34" s="362">
        <f t="shared" si="0"/>
        <v>1</v>
      </c>
      <c r="L34" s="362">
        <f t="shared" si="0"/>
        <v>0.24261971448377906</v>
      </c>
      <c r="M34" s="362">
        <f t="shared" si="0"/>
        <v>7.1145059788036341E-2</v>
      </c>
      <c r="N34" s="362">
        <f t="shared" si="0"/>
        <v>1.6258692414114224E-2</v>
      </c>
      <c r="O34" s="362">
        <f t="shared" si="0"/>
        <v>7.136518444146752E-3</v>
      </c>
      <c r="P34" s="362">
        <f t="shared" si="0"/>
        <v>9.4540270646297317E-2</v>
      </c>
      <c r="Q34" s="362">
        <f t="shared" si="0"/>
        <v>7.1256657617115568E-2</v>
      </c>
      <c r="R34" s="362">
        <f t="shared" si="0"/>
        <v>0.59046893875176298</v>
      </c>
    </row>
    <row r="35" spans="3:18" x14ac:dyDescent="0.3">
      <c r="C35">
        <v>2001</v>
      </c>
      <c r="D35">
        <v>34862468</v>
      </c>
      <c r="E35">
        <v>21048569</v>
      </c>
      <c r="F35">
        <v>13813899</v>
      </c>
      <c r="G35">
        <v>4908586</v>
      </c>
      <c r="H35">
        <v>8905313</v>
      </c>
      <c r="J35">
        <v>2001</v>
      </c>
      <c r="K35" s="362">
        <f t="shared" si="0"/>
        <v>1</v>
      </c>
      <c r="L35" s="362">
        <f t="shared" si="0"/>
        <v>0.2441191129576861</v>
      </c>
      <c r="M35" s="362">
        <f t="shared" si="0"/>
        <v>6.9863004831780581E-2</v>
      </c>
      <c r="N35" s="362">
        <f t="shared" si="0"/>
        <v>1.4641048847013073E-2</v>
      </c>
      <c r="O35" s="362">
        <f t="shared" si="0"/>
        <v>6.4562036576337658E-3</v>
      </c>
      <c r="P35" s="362">
        <f t="shared" si="0"/>
        <v>9.096025733642743E-2</v>
      </c>
      <c r="Q35" s="362">
        <f t="shared" si="0"/>
        <v>7.0571925250658127E-2</v>
      </c>
      <c r="R35" s="362">
        <f t="shared" si="0"/>
        <v>0.589836222106496</v>
      </c>
    </row>
    <row r="36" spans="3:18" x14ac:dyDescent="0.3">
      <c r="C36">
        <v>2002</v>
      </c>
      <c r="D36">
        <v>35127591</v>
      </c>
      <c r="E36">
        <v>23246493</v>
      </c>
      <c r="F36">
        <v>11881098</v>
      </c>
      <c r="G36">
        <v>4900781</v>
      </c>
      <c r="H36">
        <v>6980317</v>
      </c>
      <c r="J36">
        <v>2002</v>
      </c>
      <c r="K36" s="362">
        <f t="shared" si="0"/>
        <v>1</v>
      </c>
      <c r="L36" s="362">
        <f t="shared" si="0"/>
        <v>0.24021697453628163</v>
      </c>
      <c r="M36" s="362">
        <f t="shared" si="0"/>
        <v>7.2386976000626019E-2</v>
      </c>
      <c r="N36" s="362">
        <f t="shared" si="0"/>
        <v>1.2426220510995015E-2</v>
      </c>
      <c r="O36" s="362">
        <f t="shared" si="0"/>
        <v>3.1699342087167788E-3</v>
      </c>
      <c r="P36" s="362">
        <f t="shared" si="0"/>
        <v>8.798313072033781E-2</v>
      </c>
      <c r="Q36" s="362">
        <f t="shared" si="0"/>
        <v>6.8580270186205161E-2</v>
      </c>
      <c r="R36" s="362">
        <f t="shared" si="0"/>
        <v>0.60321962455717537</v>
      </c>
    </row>
    <row r="37" spans="3:18" x14ac:dyDescent="0.3">
      <c r="C37">
        <v>2003</v>
      </c>
      <c r="D37">
        <v>37747576</v>
      </c>
      <c r="E37">
        <v>24866341</v>
      </c>
      <c r="F37">
        <v>12881235</v>
      </c>
      <c r="G37">
        <v>5046344</v>
      </c>
      <c r="H37">
        <v>7834891</v>
      </c>
      <c r="J37">
        <v>2003</v>
      </c>
      <c r="K37" s="362">
        <f t="shared" si="0"/>
        <v>1</v>
      </c>
      <c r="L37" s="362">
        <f t="shared" si="0"/>
        <v>0.23701019584946478</v>
      </c>
      <c r="M37" s="362">
        <f t="shared" si="0"/>
        <v>7.6379776183550296E-2</v>
      </c>
      <c r="N37" s="362">
        <f t="shared" si="0"/>
        <v>1.2098221480981051E-2</v>
      </c>
      <c r="O37" s="362">
        <f t="shared" si="0"/>
        <v>3.7532321332346729E-3</v>
      </c>
      <c r="P37" s="362">
        <f t="shared" si="0"/>
        <v>9.2231229797766018E-2</v>
      </c>
      <c r="Q37" s="362">
        <f t="shared" si="0"/>
        <v>7.1699662016745033E-2</v>
      </c>
      <c r="R37" s="362">
        <f t="shared" si="0"/>
        <v>0.59905891233602415</v>
      </c>
    </row>
    <row r="38" spans="3:18" x14ac:dyDescent="0.3">
      <c r="K38" s="362"/>
    </row>
    <row r="39" spans="3:18" x14ac:dyDescent="0.3">
      <c r="D39">
        <f>+SUM(D34:D37)</f>
        <v>145348116</v>
      </c>
      <c r="E39">
        <f>+SUM(E34:E37)</f>
        <v>91178284</v>
      </c>
      <c r="F39">
        <f>+SUM(F34:F37)</f>
        <v>54169832</v>
      </c>
    </row>
    <row r="40" spans="3:18" x14ac:dyDescent="0.3">
      <c r="E40">
        <f>+E39/D39</f>
        <v>0.62730970658057927</v>
      </c>
      <c r="F40">
        <f>+F39/D39</f>
        <v>0.37269029341942073</v>
      </c>
    </row>
  </sheetData>
  <mergeCells count="2">
    <mergeCell ref="F5:H5"/>
    <mergeCell ref="F23:H23"/>
  </mergeCells>
  <phoneticPr fontId="0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28A4-B8D7-4335-9B34-E99AA28AD971}">
  <dimension ref="B1:N73"/>
  <sheetViews>
    <sheetView topLeftCell="F1" workbookViewId="0">
      <selection activeCell="H2" sqref="H2:H20"/>
    </sheetView>
  </sheetViews>
  <sheetFormatPr defaultColWidth="13.33203125" defaultRowHeight="12.5" x14ac:dyDescent="0.25"/>
  <cols>
    <col min="1" max="1" width="13.33203125" style="738" customWidth="1"/>
    <col min="2" max="2" width="13.33203125" style="736" customWidth="1"/>
    <col min="3" max="4" width="13.33203125" style="737" customWidth="1"/>
    <col min="5" max="6" width="13.33203125" style="738" customWidth="1"/>
    <col min="7" max="7" width="13.44140625" style="741" bestFit="1" customWidth="1"/>
    <col min="8" max="9" width="13.33203125" style="738" customWidth="1"/>
    <col min="10" max="10" width="60.109375" style="738" bestFit="1" customWidth="1"/>
    <col min="11" max="16384" width="13.33203125" style="738"/>
  </cols>
  <sheetData>
    <row r="1" spans="2:14" x14ac:dyDescent="0.25">
      <c r="B1" s="736" t="s">
        <v>777</v>
      </c>
      <c r="C1" s="737" t="s">
        <v>778</v>
      </c>
      <c r="D1" s="737" t="s">
        <v>778</v>
      </c>
      <c r="E1" s="737">
        <v>2003</v>
      </c>
      <c r="F1" s="738">
        <v>2003</v>
      </c>
      <c r="G1" s="738">
        <v>2004</v>
      </c>
    </row>
    <row r="2" spans="2:14" x14ac:dyDescent="0.25">
      <c r="C2" s="737" t="s">
        <v>779</v>
      </c>
      <c r="D2" s="744" t="s">
        <v>887</v>
      </c>
      <c r="E2" s="738" t="s">
        <v>780</v>
      </c>
      <c r="F2" s="738" t="s">
        <v>781</v>
      </c>
      <c r="G2" s="742" t="s">
        <v>782</v>
      </c>
    </row>
    <row r="3" spans="2:14" ht="13" x14ac:dyDescent="0.3">
      <c r="B3" s="739">
        <v>1</v>
      </c>
      <c r="C3" s="737">
        <f>+'[5]PBI 1994'!P7</f>
        <v>11647.776195311209</v>
      </c>
      <c r="D3" s="737">
        <f>+C3*(100+N4)/100</f>
        <v>11521.980212401848</v>
      </c>
      <c r="E3" s="737">
        <f>+'[5]PBI 1994'!Q7</f>
        <v>13010.17695382833</v>
      </c>
      <c r="F3" s="740">
        <f>+E3*'[6]5 (oferta-demanda corrientes)'!$Y$24/$E$48</f>
        <v>14642.248350881269</v>
      </c>
      <c r="G3" s="741">
        <f>+D3*'oferta-demanda'!$M$78/$D$48</f>
        <v>21156.469178078307</v>
      </c>
      <c r="M3" s="743" t="s">
        <v>886</v>
      </c>
      <c r="N3" s="743" t="s">
        <v>886</v>
      </c>
    </row>
    <row r="4" spans="2:14" ht="13" x14ac:dyDescent="0.3">
      <c r="B4" s="739">
        <v>2</v>
      </c>
      <c r="C4" s="737">
        <f>+'[5]PBI 1994'!P8</f>
        <v>572.77940233801542</v>
      </c>
      <c r="D4" s="737">
        <f>+C4*(100+N7)/100</f>
        <v>801.89116327322165</v>
      </c>
      <c r="E4" s="737">
        <f>+'[5]PBI 1994'!Q8</f>
        <v>1379.3735088990602</v>
      </c>
      <c r="F4" s="740">
        <f>+E4*'[6]5 (oferta-demanda corrientes)'!$Y$24/$E$48</f>
        <v>1552.4100523462469</v>
      </c>
      <c r="G4" s="741">
        <f>+D4*'oferta-demanda'!$M$78/$D$48</f>
        <v>1472.4192688425687</v>
      </c>
      <c r="H4" s="741"/>
      <c r="J4" s="738" t="s">
        <v>874</v>
      </c>
      <c r="K4" s="738">
        <v>2.33</v>
      </c>
      <c r="L4" s="738">
        <v>3.43</v>
      </c>
      <c r="M4" s="738">
        <v>-1.08</v>
      </c>
      <c r="N4" s="738">
        <v>-1.08</v>
      </c>
    </row>
    <row r="5" spans="2:14" ht="13" x14ac:dyDescent="0.3">
      <c r="B5" s="739">
        <v>3</v>
      </c>
      <c r="C5" s="737">
        <f>+'[5]PBI 1994'!P10</f>
        <v>574.10616357458844</v>
      </c>
      <c r="D5" s="737">
        <f>+C5*(100+N10)/100</f>
        <v>625.77571829630142</v>
      </c>
      <c r="E5" s="737">
        <f>+'[5]PBI 1994'!Q10</f>
        <v>1480.9360310862751</v>
      </c>
      <c r="F5" s="740">
        <f>+E5*'[6]5 (oferta-demanda corrientes)'!$Y$24/$E$48</f>
        <v>1666.7131612343626</v>
      </c>
      <c r="G5" s="741">
        <f>+D5*'oferta-demanda'!$M$78/$D$48</f>
        <v>1149.039006530779</v>
      </c>
      <c r="J5" s="738" t="s">
        <v>875</v>
      </c>
      <c r="K5" s="738">
        <v>1.59</v>
      </c>
      <c r="L5" s="738">
        <v>1.52</v>
      </c>
      <c r="M5" s="738">
        <v>-3.24</v>
      </c>
      <c r="N5" s="738">
        <v>-3.24</v>
      </c>
    </row>
    <row r="6" spans="2:14" ht="13" x14ac:dyDescent="0.3">
      <c r="B6" s="739">
        <v>4</v>
      </c>
      <c r="C6" s="737">
        <f>+'[5]PBI 1994'!P11</f>
        <v>8175.0103445254135</v>
      </c>
      <c r="D6" s="737">
        <f>+C6*(100+N9)/100</f>
        <v>8992.5113789779552</v>
      </c>
      <c r="E6" s="737">
        <f>+'[5]PBI 1994'!Q11</f>
        <v>10459.999650593127</v>
      </c>
      <c r="F6" s="740">
        <f>+E6*'[6]5 (oferta-demanda corrientes)'!$Y$24/$E$48</f>
        <v>11772.162144885213</v>
      </c>
      <c r="G6" s="741">
        <f>+D6*'oferta-demanda'!$M$78/$D$48</f>
        <v>16511.900412577299</v>
      </c>
      <c r="J6" s="738" t="s">
        <v>876</v>
      </c>
      <c r="K6" s="738">
        <v>3.04</v>
      </c>
      <c r="L6" s="738">
        <v>5.23</v>
      </c>
      <c r="M6" s="738">
        <v>2.0499999999999998</v>
      </c>
      <c r="N6" s="738">
        <v>2.0499999999999998</v>
      </c>
    </row>
    <row r="7" spans="2:14" ht="13" x14ac:dyDescent="0.3">
      <c r="B7" s="739">
        <v>5</v>
      </c>
      <c r="C7" s="737">
        <f>+'[5]PBI 1994'!P14</f>
        <v>411.1771189953613</v>
      </c>
      <c r="D7" s="737">
        <f>+C7*(100+$N$12)/100</f>
        <v>430.25573731674609</v>
      </c>
      <c r="E7" s="737">
        <f>+'[5]PBI 1994'!Q14</f>
        <v>500.80775515172604</v>
      </c>
      <c r="F7" s="740">
        <f>+E7*'[6]5 (oferta-demanda corrientes)'!$Y$24/$E$48</f>
        <v>563.63195927332424</v>
      </c>
      <c r="G7" s="741">
        <f>+D7*'oferta-demanda'!$M$78/$D$48</f>
        <v>790.02845669143585</v>
      </c>
      <c r="J7" s="738" t="s">
        <v>877</v>
      </c>
      <c r="K7" s="738">
        <v>-12.62</v>
      </c>
      <c r="L7" s="738">
        <v>38.32</v>
      </c>
      <c r="M7" s="738">
        <v>28.27</v>
      </c>
      <c r="N7" s="738">
        <v>40</v>
      </c>
    </row>
    <row r="8" spans="2:14" ht="13" x14ac:dyDescent="0.3">
      <c r="B8" s="739">
        <v>6</v>
      </c>
      <c r="C8" s="737">
        <f>+'[5]PBI 1994'!P15</f>
        <v>241.60835263622249</v>
      </c>
      <c r="D8" s="737">
        <f>+C8*(100+N7)/100</f>
        <v>338.25169369071148</v>
      </c>
      <c r="E8" s="737">
        <f>+'[5]PBI 1994'!Q15</f>
        <v>671.84235715075613</v>
      </c>
      <c r="F8" s="740">
        <f>+E8*'[6]5 (oferta-demanda corrientes)'!$Y$24/$E$48</f>
        <v>756.12212508363757</v>
      </c>
      <c r="G8" s="741">
        <f>+D8*'oferta-demanda'!$M$78/$D$48</f>
        <v>621.09215604255519</v>
      </c>
      <c r="J8" s="738" t="s">
        <v>878</v>
      </c>
      <c r="K8" s="738">
        <v>6.86</v>
      </c>
      <c r="L8" s="738">
        <v>7.93</v>
      </c>
      <c r="M8" s="738">
        <v>5.41</v>
      </c>
      <c r="N8" s="738">
        <v>10</v>
      </c>
    </row>
    <row r="9" spans="2:14" ht="13" x14ac:dyDescent="0.3">
      <c r="B9" s="739">
        <v>7</v>
      </c>
      <c r="C9" s="737">
        <f>+'[5]PBI 1994'!P16</f>
        <v>617.93967586571637</v>
      </c>
      <c r="D9" s="737">
        <f>+C9*(100+N7)/100</f>
        <v>865.11554621200298</v>
      </c>
      <c r="E9" s="737">
        <f>+'[5]PBI 1994'!Q16</f>
        <v>1970.9591259158251</v>
      </c>
      <c r="F9" s="740">
        <f>+E9*'[6]5 (oferta-demanda corrientes)'!$Y$24/$E$48</f>
        <v>2218.20757038999</v>
      </c>
      <c r="G9" s="741">
        <f>+D9*'oferta-demanda'!$M$78/$D$48</f>
        <v>1588.5108333383657</v>
      </c>
      <c r="J9" s="738" t="s">
        <v>878</v>
      </c>
      <c r="K9" s="738">
        <v>7.68</v>
      </c>
      <c r="L9" s="738">
        <v>7.11</v>
      </c>
      <c r="M9" s="738">
        <v>5.27</v>
      </c>
      <c r="N9" s="738">
        <v>10</v>
      </c>
    </row>
    <row r="10" spans="2:14" ht="13" x14ac:dyDescent="0.3">
      <c r="B10" s="739">
        <v>8</v>
      </c>
      <c r="C10" s="737">
        <f>+'[5]PBI 1994'!P17</f>
        <v>1532.2705003569811</v>
      </c>
      <c r="D10" s="737">
        <f>+C10*(100+$N$12)/100</f>
        <v>1603.3678515735448</v>
      </c>
      <c r="E10" s="737">
        <f>+'[5]PBI 1994'!Q17</f>
        <v>1617.3901653286594</v>
      </c>
      <c r="F10" s="740">
        <f>+E10*'[6]5 (oferta-demanda corrientes)'!$Y$24/$E$48</f>
        <v>1820.2848865976798</v>
      </c>
      <c r="G10" s="741">
        <f>+D10*'oferta-demanda'!$M$78/$D$48</f>
        <v>2944.0774856066264</v>
      </c>
      <c r="J10" s="738" t="s">
        <v>879</v>
      </c>
      <c r="K10" s="738">
        <v>-4.47</v>
      </c>
      <c r="L10" s="738">
        <v>17.52</v>
      </c>
      <c r="M10" s="738">
        <v>7.14</v>
      </c>
      <c r="N10" s="738">
        <v>9</v>
      </c>
    </row>
    <row r="11" spans="2:14" ht="13" x14ac:dyDescent="0.3">
      <c r="B11" s="739">
        <v>9</v>
      </c>
      <c r="C11" s="737">
        <f>+'[5]PBI 1994'!P18</f>
        <v>219.77925912863651</v>
      </c>
      <c r="D11" s="737">
        <f>+C11*(100+$N$12)/100</f>
        <v>229.97701675220523</v>
      </c>
      <c r="E11" s="737">
        <f>+'[5]PBI 1994'!Q18</f>
        <v>319.94673892237876</v>
      </c>
      <c r="F11" s="740">
        <f>+E11*'[6]5 (oferta-demanda corrientes)'!$Y$24/$E$48</f>
        <v>360.08269733622075</v>
      </c>
      <c r="G11" s="741">
        <f>+D11*'oferta-demanda'!$M$78/$D$48</f>
        <v>422.27998806553893</v>
      </c>
      <c r="J11" s="738" t="s">
        <v>880</v>
      </c>
      <c r="K11" s="738">
        <v>2.13</v>
      </c>
      <c r="L11" s="738">
        <v>10.67</v>
      </c>
      <c r="M11" s="738">
        <v>6.72</v>
      </c>
      <c r="N11" s="738">
        <v>6.72</v>
      </c>
    </row>
    <row r="12" spans="2:14" ht="13" x14ac:dyDescent="0.3">
      <c r="B12" s="739">
        <v>10</v>
      </c>
      <c r="C12" s="737">
        <f>+'[5]PBI 1994'!P19</f>
        <v>2183.549248325246</v>
      </c>
      <c r="D12" s="737">
        <f>+C12*(100+$N$12)/100</f>
        <v>2284.8659334475374</v>
      </c>
      <c r="E12" s="737">
        <f>+'[5]PBI 1994'!Q19</f>
        <v>3013.1130670468979</v>
      </c>
      <c r="F12" s="740">
        <f>+E12*'[6]5 (oferta-demanda corrientes)'!$Y$24/$E$48</f>
        <v>3391.0952935966038</v>
      </c>
      <c r="G12" s="741">
        <f>+D12*'oferta-demanda'!$M$78/$D$48</f>
        <v>4195.4329729704632</v>
      </c>
      <c r="J12" s="738" t="s">
        <v>881</v>
      </c>
      <c r="K12" s="738">
        <v>-1.48</v>
      </c>
      <c r="L12" s="738">
        <v>7.53</v>
      </c>
      <c r="M12" s="738">
        <v>4.6399999999999997</v>
      </c>
      <c r="N12" s="738">
        <v>4.6399999999999997</v>
      </c>
    </row>
    <row r="13" spans="2:14" ht="13" x14ac:dyDescent="0.3">
      <c r="B13" s="739">
        <v>11</v>
      </c>
      <c r="C13" s="737">
        <f>+'[5]PBI 1994'!P20</f>
        <v>870.7462359182631</v>
      </c>
      <c r="D13" s="737">
        <f>+C13*(100+$N$13)/100</f>
        <v>933.78826339874536</v>
      </c>
      <c r="E13" s="737">
        <f>+'[5]PBI 1994'!Q20</f>
        <v>1522.0607609070269</v>
      </c>
      <c r="F13" s="740">
        <f>+E13*'[6]5 (oferta-demanda corrientes)'!$Y$24/$E$48</f>
        <v>1712.9968136039909</v>
      </c>
      <c r="G13" s="741">
        <f>+D13*'oferta-demanda'!$M$78/$D$48</f>
        <v>1714.6065389161608</v>
      </c>
      <c r="J13" s="743" t="s">
        <v>884</v>
      </c>
      <c r="K13" s="738">
        <v>4.28</v>
      </c>
      <c r="L13" s="738">
        <v>11.44</v>
      </c>
      <c r="M13" s="738">
        <v>7.24</v>
      </c>
      <c r="N13" s="738">
        <v>7.24</v>
      </c>
    </row>
    <row r="14" spans="2:14" ht="13" x14ac:dyDescent="0.3">
      <c r="B14" s="739">
        <v>12</v>
      </c>
      <c r="C14" s="737">
        <f>+'[5]PBI 1994'!P22</f>
        <v>1266.4094166244822</v>
      </c>
      <c r="D14" s="737">
        <f>+C14*(100+N28)/100</f>
        <v>1547.8055889984421</v>
      </c>
      <c r="E14" s="737">
        <f>+'[5]PBI 1994'!Q22</f>
        <v>2020.281326376351</v>
      </c>
      <c r="F14" s="740">
        <f>+E14*'[6]5 (oferta-demanda corrientes)'!$Y$24/$E$48</f>
        <v>2273.7170312465128</v>
      </c>
      <c r="G14" s="741">
        <f>+D14*'oferta-demanda'!$M$78/$D$48</f>
        <v>2842.0549795820812</v>
      </c>
      <c r="J14" s="743" t="s">
        <v>885</v>
      </c>
      <c r="K14" s="738">
        <v>4.21</v>
      </c>
      <c r="L14" s="738">
        <v>6.78</v>
      </c>
      <c r="M14" s="738">
        <v>4.45</v>
      </c>
      <c r="N14" s="738">
        <v>4.45</v>
      </c>
    </row>
    <row r="15" spans="2:14" ht="13" x14ac:dyDescent="0.3">
      <c r="B15" s="739">
        <v>13</v>
      </c>
      <c r="C15" s="737">
        <f>+'[5]PBI 1994'!P23</f>
        <v>1410.5693430249198</v>
      </c>
      <c r="D15" s="737">
        <f>+C15*(100+N30)/100</f>
        <v>1496.0498452122299</v>
      </c>
      <c r="E15" s="737">
        <f>+'[5]PBI 1994'!Q23</f>
        <v>2329.4612265295705</v>
      </c>
      <c r="F15" s="740">
        <f>+E15*'[6]5 (oferta-demanda corrientes)'!$Y$24/$E$48</f>
        <v>2621.6822356561261</v>
      </c>
      <c r="G15" s="741">
        <f>+D15*'oferta-demanda'!$M$78/$D$48</f>
        <v>2747.0219402940143</v>
      </c>
      <c r="J15" s="738" t="s">
        <v>882</v>
      </c>
      <c r="K15" s="738">
        <v>5.28</v>
      </c>
      <c r="L15" s="738">
        <v>3.65</v>
      </c>
      <c r="M15" s="738">
        <v>4.05</v>
      </c>
      <c r="N15" s="738">
        <v>4.05</v>
      </c>
    </row>
    <row r="16" spans="2:14" ht="13" x14ac:dyDescent="0.3">
      <c r="B16" s="739">
        <v>14</v>
      </c>
      <c r="C16" s="737">
        <f>+'[5]PBI 1994'!P24</f>
        <v>43.424103081047079</v>
      </c>
      <c r="D16" s="737">
        <f t="shared" ref="D16:D30" si="0">+C16*(100+$N$13)/100</f>
        <v>46.568008144114884</v>
      </c>
      <c r="E16" s="737">
        <f>+'[5]PBI 1994'!Q24</f>
        <v>47.109136192489245</v>
      </c>
      <c r="F16" s="740">
        <f>+E16*'[6]5 (oferta-demanda corrientes)'!$Y$24/$E$48</f>
        <v>53.01877708303909</v>
      </c>
      <c r="G16" s="741">
        <f>+D16*'oferta-demanda'!$M$78/$D$48</f>
        <v>85.507405048744687</v>
      </c>
      <c r="J16" s="738" t="s">
        <v>883</v>
      </c>
      <c r="K16" s="738">
        <v>-0.8</v>
      </c>
      <c r="L16" s="738">
        <v>15.76</v>
      </c>
      <c r="M16" s="738">
        <v>3.28</v>
      </c>
      <c r="N16" s="738">
        <v>3.28</v>
      </c>
    </row>
    <row r="17" spans="2:14" ht="13" x14ac:dyDescent="0.3">
      <c r="B17" s="739">
        <v>15</v>
      </c>
      <c r="C17" s="737">
        <f>+'[5]PBI 1994'!P25</f>
        <v>127.35903757390123</v>
      </c>
      <c r="D17" s="737">
        <f t="shared" si="0"/>
        <v>136.57983189425167</v>
      </c>
      <c r="E17" s="737">
        <f>+'[5]PBI 1994'!Q25</f>
        <v>162.45016148033622</v>
      </c>
      <c r="F17" s="740">
        <f>+E17*'[6]5 (oferta-demanda corrientes)'!$Y$24/$E$48</f>
        <v>182.82884371806489</v>
      </c>
      <c r="G17" s="741">
        <f>+D17*'oferta-demanda'!$M$78/$D$48</f>
        <v>250.78562456717694</v>
      </c>
      <c r="J17" s="738" t="s">
        <v>92</v>
      </c>
      <c r="K17" s="738">
        <v>7.35</v>
      </c>
      <c r="L17" s="738">
        <v>2.15</v>
      </c>
      <c r="M17" s="738">
        <v>4.1500000000000004</v>
      </c>
      <c r="N17" s="738">
        <v>4.1500000000000004</v>
      </c>
    </row>
    <row r="18" spans="2:14" ht="13" x14ac:dyDescent="0.3">
      <c r="B18" s="739">
        <v>16</v>
      </c>
      <c r="C18" s="737">
        <f>+'[5]PBI 1994'!P26</f>
        <v>638.73430238057574</v>
      </c>
      <c r="D18" s="737">
        <f>+C18*(100+N29)/100</f>
        <v>809.02086739523713</v>
      </c>
      <c r="E18" s="737">
        <f>+'[5]PBI 1994'!Q26</f>
        <v>722.47092995980449</v>
      </c>
      <c r="F18" s="740">
        <f>+E18*'[6]5 (oferta-demanda corrientes)'!$Y$24/$E$48</f>
        <v>813.101837146864</v>
      </c>
      <c r="G18" s="741">
        <f>+D18*'oferta-demanda'!$M$78/$D$48</f>
        <v>1485.5107134315708</v>
      </c>
    </row>
    <row r="19" spans="2:14" ht="13" x14ac:dyDescent="0.3">
      <c r="B19" s="739">
        <v>17</v>
      </c>
      <c r="C19" s="737">
        <f>+'[5]PBI 1994'!P28</f>
        <v>649.11679372951278</v>
      </c>
      <c r="D19" s="737">
        <f t="shared" si="0"/>
        <v>696.11284959552938</v>
      </c>
      <c r="E19" s="737">
        <f>+'[5]PBI 1994'!Q28</f>
        <v>941.54895948665194</v>
      </c>
      <c r="F19" s="740">
        <f>+E19*'[6]5 (oferta-demanda corrientes)'!$Y$24/$E$48</f>
        <v>1059.662274252209</v>
      </c>
      <c r="G19" s="741">
        <f>+D19*'oferta-demanda'!$M$78/$D$48</f>
        <v>1278.1908817270964</v>
      </c>
      <c r="H19" s="741"/>
      <c r="N19" s="743" t="s">
        <v>886</v>
      </c>
    </row>
    <row r="20" spans="2:14" ht="13" x14ac:dyDescent="0.3">
      <c r="B20" s="739">
        <v>18</v>
      </c>
      <c r="C20" s="737">
        <f>+'[5]PBI 1994'!P29</f>
        <v>747.75199484529332</v>
      </c>
      <c r="D20" s="737">
        <f>+C20*(100+N35)/100</f>
        <v>815.49832557827688</v>
      </c>
      <c r="E20" s="737">
        <f>+'[5]PBI 1994'!Q29</f>
        <v>1105.4854006185935</v>
      </c>
      <c r="F20" s="740">
        <f>+E20*'[6]5 (oferta-demanda corrientes)'!$Y$24/$E$48</f>
        <v>1244.1638450865075</v>
      </c>
      <c r="G20" s="741">
        <f>+D20*'oferta-demanda'!$M$78/$D$48</f>
        <v>1497.4045148333703</v>
      </c>
      <c r="J20" s="738" t="s">
        <v>891</v>
      </c>
      <c r="K20" s="738" t="s">
        <v>888</v>
      </c>
      <c r="L20" s="738">
        <v>23.16</v>
      </c>
      <c r="M20" s="738">
        <v>7.53</v>
      </c>
      <c r="N20" s="738">
        <v>4.6399999999999997</v>
      </c>
    </row>
    <row r="21" spans="2:14" ht="13" x14ac:dyDescent="0.3">
      <c r="B21" s="739">
        <v>19</v>
      </c>
      <c r="C21" s="737">
        <f>+'[5]PBI 1994'!P31</f>
        <v>627.415475295139</v>
      </c>
      <c r="D21" s="737">
        <f>+C21*(100+N33)/100</f>
        <v>727.04905277200703</v>
      </c>
      <c r="E21" s="737">
        <f>+'[5]PBI 1994'!Q31</f>
        <v>1136.0880417532273</v>
      </c>
      <c r="F21" s="740">
        <f>+E21*'[6]5 (oferta-demanda corrientes)'!$Y$24/$E$48</f>
        <v>1278.6054574701384</v>
      </c>
      <c r="G21" s="741">
        <f>+D21*'oferta-demanda'!$M$78/$D$48</f>
        <v>1334.9954254708391</v>
      </c>
      <c r="J21" s="738" t="s">
        <v>892</v>
      </c>
      <c r="K21" s="738">
        <v>1512</v>
      </c>
      <c r="L21" s="738">
        <v>7.28</v>
      </c>
      <c r="M21" s="738">
        <v>105.61</v>
      </c>
      <c r="N21" s="738">
        <v>37.4</v>
      </c>
    </row>
    <row r="22" spans="2:14" ht="13" x14ac:dyDescent="0.3">
      <c r="B22" s="739">
        <v>20</v>
      </c>
      <c r="C22" s="737">
        <f>+'[5]PBI 1994'!P32</f>
        <v>321.46266239096923</v>
      </c>
      <c r="D22" s="737">
        <f t="shared" si="0"/>
        <v>344.7365591480754</v>
      </c>
      <c r="E22" s="737">
        <f>+'[5]PBI 1994'!Q32</f>
        <v>681.88241130348422</v>
      </c>
      <c r="F22" s="740">
        <f>+E22*'[6]5 (oferta-demanda corrientes)'!$Y$24/$E$48</f>
        <v>767.42166135299499</v>
      </c>
      <c r="G22" s="741">
        <f>+D22*'oferta-demanda'!$M$78/$D$48</f>
        <v>632.99955855875032</v>
      </c>
      <c r="J22" s="738" t="s">
        <v>893</v>
      </c>
      <c r="K22" s="738">
        <v>1511</v>
      </c>
      <c r="L22" s="738">
        <v>3.52</v>
      </c>
      <c r="M22" s="738">
        <v>5.75</v>
      </c>
      <c r="N22" s="738">
        <v>2.14</v>
      </c>
    </row>
    <row r="23" spans="2:14" ht="13" x14ac:dyDescent="0.3">
      <c r="B23" s="739">
        <v>21</v>
      </c>
      <c r="C23" s="737">
        <f>+'[5]PBI 1994'!P33</f>
        <v>921.11925858088694</v>
      </c>
      <c r="D23" s="737">
        <f t="shared" si="0"/>
        <v>987.80829290214319</v>
      </c>
      <c r="E23" s="737">
        <f>+'[5]PBI 1994'!Q33</f>
        <v>1550.0240801293883</v>
      </c>
      <c r="F23" s="740">
        <f>+E23*'[6]5 (oferta-demanda corrientes)'!$Y$24/$E$48</f>
        <v>1744.4680123603077</v>
      </c>
      <c r="G23" s="741">
        <f>+D23*'oferta-demanda'!$M$78/$D$48</f>
        <v>1813.7972221250564</v>
      </c>
      <c r="J23" s="738" t="s">
        <v>894</v>
      </c>
      <c r="K23" s="738">
        <v>2720</v>
      </c>
      <c r="L23" s="738">
        <v>5.92</v>
      </c>
      <c r="M23" s="738">
        <v>-2.67</v>
      </c>
      <c r="N23" s="738">
        <v>0.5</v>
      </c>
    </row>
    <row r="24" spans="2:14" ht="13" x14ac:dyDescent="0.3">
      <c r="B24" s="739">
        <v>22</v>
      </c>
      <c r="C24" s="737">
        <f>+'[5]PBI 1994'!P34</f>
        <v>803.92191702941182</v>
      </c>
      <c r="D24" s="737">
        <f>+C24*(100+N24)/100</f>
        <v>781.89445650280595</v>
      </c>
      <c r="E24" s="737">
        <f>+'[5]PBI 1994'!Q34</f>
        <v>1353.9608967895367</v>
      </c>
      <c r="F24" s="740">
        <f>+E24*'[6]5 (oferta-demanda corrientes)'!$Y$24/$E$48</f>
        <v>1523.8095360678913</v>
      </c>
      <c r="G24" s="741">
        <f>+D24*'oferta-demanda'!$M$78/$D$48</f>
        <v>1435.7016471618783</v>
      </c>
      <c r="J24" s="738" t="s">
        <v>895</v>
      </c>
      <c r="K24" s="738">
        <v>2320</v>
      </c>
      <c r="L24" s="738">
        <v>5.47</v>
      </c>
      <c r="M24" s="738">
        <v>-10.43</v>
      </c>
      <c r="N24" s="738">
        <v>-2.74</v>
      </c>
    </row>
    <row r="25" spans="2:14" ht="13" x14ac:dyDescent="0.3">
      <c r="B25" s="739">
        <v>23</v>
      </c>
      <c r="C25" s="737">
        <f>+'[5]PBI 1994'!P35</f>
        <v>652.58512031678697</v>
      </c>
      <c r="D25" s="737">
        <f t="shared" si="0"/>
        <v>699.83228302772227</v>
      </c>
      <c r="E25" s="737">
        <f>+'[5]PBI 1994'!Q35</f>
        <v>963.38009739540928</v>
      </c>
      <c r="F25" s="740">
        <f>+E25*'[6]5 (oferta-demanda corrientes)'!$Y$24/$E$48</f>
        <v>1084.2320356149323</v>
      </c>
      <c r="G25" s="741">
        <f>+D25*'oferta-demanda'!$M$78/$D$48</f>
        <v>1285.0204437743741</v>
      </c>
      <c r="J25" s="738" t="s">
        <v>896</v>
      </c>
      <c r="K25" s="738">
        <v>1542</v>
      </c>
      <c r="L25" s="738">
        <v>0.97</v>
      </c>
      <c r="M25" s="738">
        <v>-25.59</v>
      </c>
      <c r="N25" s="738">
        <v>-22.16</v>
      </c>
    </row>
    <row r="26" spans="2:14" ht="13" x14ac:dyDescent="0.3">
      <c r="B26" s="739">
        <v>24</v>
      </c>
      <c r="C26" s="737">
        <f>+'[5]PBI 1994'!P36</f>
        <v>1417.2964450793997</v>
      </c>
      <c r="D26" s="737">
        <f t="shared" si="0"/>
        <v>1519.9087077031481</v>
      </c>
      <c r="E26" s="737">
        <f>+'[5]PBI 1994'!Q36</f>
        <v>2230.1575062307425</v>
      </c>
      <c r="F26" s="740">
        <f>+E26*'[6]5 (oferta-demanda corrientes)'!$Y$24/$E$48</f>
        <v>2509.9212857519028</v>
      </c>
      <c r="G26" s="741">
        <f>+D26*'oferta-demanda'!$M$78/$D$48</f>
        <v>2790.831188323255</v>
      </c>
      <c r="J26" s="738" t="s">
        <v>897</v>
      </c>
      <c r="K26" s="738" t="s">
        <v>888</v>
      </c>
      <c r="L26" s="738">
        <v>76.84</v>
      </c>
      <c r="M26" s="738">
        <v>11.44</v>
      </c>
      <c r="N26" s="738">
        <v>7.24</v>
      </c>
    </row>
    <row r="27" spans="2:14" ht="13" x14ac:dyDescent="0.3">
      <c r="B27" s="739">
        <v>25</v>
      </c>
      <c r="C27" s="737">
        <f>+'[5]PBI 1994'!P38</f>
        <v>518.04001262542704</v>
      </c>
      <c r="D27" s="737">
        <f t="shared" si="0"/>
        <v>555.54610953950794</v>
      </c>
      <c r="E27" s="737">
        <f>+'[5]PBI 1994'!Q38</f>
        <v>609.49527682726318</v>
      </c>
      <c r="F27" s="740">
        <f>+E27*'[6]5 (oferta-demanda corrientes)'!$Y$24/$E$48</f>
        <v>685.95386854964022</v>
      </c>
      <c r="G27" s="741">
        <f>+D27*'oferta-demanda'!$M$78/$D$48</f>
        <v>1020.084562445523</v>
      </c>
      <c r="J27" s="738" t="s">
        <v>898</v>
      </c>
      <c r="K27" s="738" t="s">
        <v>559</v>
      </c>
      <c r="L27" s="738">
        <v>46.57</v>
      </c>
      <c r="M27" s="738">
        <v>8.98</v>
      </c>
      <c r="N27" s="738">
        <v>7.77</v>
      </c>
    </row>
    <row r="28" spans="2:14" ht="13" x14ac:dyDescent="0.3">
      <c r="B28" s="739">
        <v>26</v>
      </c>
      <c r="C28" s="737">
        <f>+'[5]PBI 1994'!P39</f>
        <v>1017.8950768312824</v>
      </c>
      <c r="D28" s="737">
        <f>+C28*(100+N10)/100</f>
        <v>1109.5056337460978</v>
      </c>
      <c r="E28" s="737">
        <f>+'[5]PBI 1994'!Q39</f>
        <v>1002.0243905377314</v>
      </c>
      <c r="F28" s="740">
        <f>+E28*'[6]5 (oferta-demanda corrientes)'!$Y$24/$E$48</f>
        <v>1127.7240910683086</v>
      </c>
      <c r="G28" s="741">
        <f>+D28*'oferta-demanda'!$M$78/$D$48</f>
        <v>2037.2558631881539</v>
      </c>
      <c r="J28" s="738" t="s">
        <v>899</v>
      </c>
      <c r="K28" s="738">
        <v>1730</v>
      </c>
      <c r="L28" s="738">
        <v>2.83</v>
      </c>
      <c r="M28" s="738">
        <v>7.02</v>
      </c>
      <c r="N28" s="738">
        <v>22.22</v>
      </c>
    </row>
    <row r="29" spans="2:14" ht="13" x14ac:dyDescent="0.3">
      <c r="B29" s="739">
        <v>27</v>
      </c>
      <c r="C29" s="737">
        <f>+'[5]PBI 1994'!P41</f>
        <v>822.10482104781215</v>
      </c>
      <c r="D29" s="737">
        <f t="shared" si="0"/>
        <v>881.62521009167369</v>
      </c>
      <c r="E29" s="737">
        <f>+'[5]PBI 1994'!Q41</f>
        <v>1159.0701775214809</v>
      </c>
      <c r="F29" s="740">
        <f>+E29*'[6]5 (oferta-demanda corrientes)'!$Y$24/$E$48</f>
        <v>1304.470604481334</v>
      </c>
      <c r="G29" s="741">
        <f>+D29*'oferta-demanda'!$M$78/$D$48</f>
        <v>1618.8256046339045</v>
      </c>
      <c r="J29" s="738" t="s">
        <v>889</v>
      </c>
      <c r="K29" s="738">
        <v>3610</v>
      </c>
      <c r="L29" s="738">
        <v>3.41</v>
      </c>
      <c r="M29" s="738">
        <v>11.79</v>
      </c>
      <c r="N29" s="738">
        <v>26.66</v>
      </c>
    </row>
    <row r="30" spans="2:14" ht="13" x14ac:dyDescent="0.3">
      <c r="B30" s="739">
        <v>28</v>
      </c>
      <c r="C30" s="737">
        <f>+'[5]PBI 1994'!P42</f>
        <v>194.13735743639606</v>
      </c>
      <c r="D30" s="737">
        <f t="shared" si="0"/>
        <v>208.19290211479114</v>
      </c>
      <c r="E30" s="737">
        <f>+'[5]PBI 1994'!Q42</f>
        <v>259.06651643936277</v>
      </c>
      <c r="F30" s="740">
        <f>+E30*'[6]5 (oferta-demanda corrientes)'!$Y$24/$E$48</f>
        <v>291.56530972367801</v>
      </c>
      <c r="G30" s="741">
        <f>+D30*'oferta-demanda'!$M$78/$D$48</f>
        <v>382.28035767196246</v>
      </c>
      <c r="J30" s="738" t="s">
        <v>900</v>
      </c>
      <c r="K30" s="738">
        <v>1810</v>
      </c>
      <c r="L30" s="738">
        <v>9.36</v>
      </c>
      <c r="M30" s="738">
        <v>17.809999999999999</v>
      </c>
      <c r="N30" s="738">
        <v>6.06</v>
      </c>
    </row>
    <row r="31" spans="2:14" ht="13" x14ac:dyDescent="0.3">
      <c r="B31" s="739">
        <v>29</v>
      </c>
      <c r="C31" s="737">
        <f>+'[5]PBI 1994'!P43</f>
        <v>307.47998057920302</v>
      </c>
      <c r="D31" s="737">
        <f>+C31*(100+50)/100</f>
        <v>461.21997086880452</v>
      </c>
      <c r="E31" s="737">
        <f>+'[5]PBI 1994'!Q43</f>
        <v>437.53251669641907</v>
      </c>
      <c r="F31" s="740">
        <f>+E31*'[6]5 (oferta-demanda corrientes)'!$Y$24/$E$48</f>
        <v>492.41911111515901</v>
      </c>
      <c r="G31" s="741">
        <f>+D31*'oferta-demanda'!$M$78/$D$48</f>
        <v>846.88446934643264</v>
      </c>
      <c r="J31" s="738" t="s">
        <v>901</v>
      </c>
      <c r="K31" s="738">
        <v>3699</v>
      </c>
      <c r="L31" s="738">
        <v>3.34</v>
      </c>
      <c r="M31" s="738">
        <v>66.64</v>
      </c>
      <c r="N31" s="738">
        <v>16.93</v>
      </c>
    </row>
    <row r="32" spans="2:14" ht="13" x14ac:dyDescent="0.3">
      <c r="B32" s="739">
        <v>30</v>
      </c>
      <c r="C32" s="737">
        <f>+'[5]PBI 1994'!P44</f>
        <v>149.05320060417506</v>
      </c>
      <c r="D32" s="737">
        <f>+C32*(100+N40)/100</f>
        <v>288.47756444932043</v>
      </c>
      <c r="E32" s="737">
        <f>+'[5]PBI 1994'!Q44</f>
        <v>149.40483760565525</v>
      </c>
      <c r="F32" s="740">
        <f>+E32*'[6]5 (oferta-demanda corrientes)'!$Y$24/$E$48</f>
        <v>168.1470394145075</v>
      </c>
      <c r="G32" s="741">
        <f>+D32*'oferta-demanda'!$M$78/$D$48</f>
        <v>529.69772455171505</v>
      </c>
      <c r="J32" s="738" t="s">
        <v>890</v>
      </c>
      <c r="K32" s="738" t="s">
        <v>559</v>
      </c>
      <c r="L32" s="738">
        <v>27.35</v>
      </c>
      <c r="M32" s="738">
        <v>14.95</v>
      </c>
      <c r="N32" s="738">
        <v>6.68</v>
      </c>
    </row>
    <row r="33" spans="2:14" ht="13" x14ac:dyDescent="0.3">
      <c r="B33" s="739">
        <v>31</v>
      </c>
      <c r="C33" s="737">
        <f>+'[5]PBI 1994'!P45</f>
        <v>537.0345439088718</v>
      </c>
      <c r="D33" s="737">
        <f>+C33*(100+N31)/100</f>
        <v>627.95449219264378</v>
      </c>
      <c r="E33" s="737">
        <f>+'[5]PBI 1994'!Q45</f>
        <v>817.17372542240389</v>
      </c>
      <c r="F33" s="740">
        <f>+E33*'[6]5 (oferta-demanda corrientes)'!$Y$24/$E$48</f>
        <v>919.68469575110885</v>
      </c>
      <c r="G33" s="741">
        <f>+D33*'oferta-demanda'!$M$78/$D$48</f>
        <v>1153.0396350628739</v>
      </c>
      <c r="J33" s="738" t="s">
        <v>902</v>
      </c>
      <c r="K33" s="738">
        <v>2411</v>
      </c>
      <c r="L33" s="738">
        <v>0.98</v>
      </c>
      <c r="M33" s="738">
        <v>79.09</v>
      </c>
      <c r="N33" s="738">
        <v>15.88</v>
      </c>
    </row>
    <row r="34" spans="2:14" ht="13" x14ac:dyDescent="0.3">
      <c r="B34" s="739">
        <v>32</v>
      </c>
      <c r="C34" s="737">
        <f>+'[5]PBI 1994'!P46</f>
        <v>2786.6189241000002</v>
      </c>
      <c r="D34" s="737">
        <f>+C34*(100+N14)/100</f>
        <v>2910.6234662224506</v>
      </c>
      <c r="E34" s="737">
        <f>+'[5]PBI 1994'!Q46</f>
        <v>4508.5399142643482</v>
      </c>
      <c r="F34" s="740">
        <f>+E34*'[6]5 (oferta-demanda corrientes)'!$Y$24/$E$48</f>
        <v>5074.1170822503027</v>
      </c>
      <c r="G34" s="741">
        <f>+D34*'oferta-demanda'!$M$78/$D$48</f>
        <v>5344.4385875481539</v>
      </c>
      <c r="J34" s="738" t="s">
        <v>903</v>
      </c>
      <c r="K34" s="738">
        <v>2693</v>
      </c>
      <c r="L34" s="738">
        <v>1.1000000000000001</v>
      </c>
      <c r="M34" s="738">
        <v>22.25</v>
      </c>
      <c r="N34" s="738">
        <v>13.25</v>
      </c>
    </row>
    <row r="35" spans="2:14" ht="13" x14ac:dyDescent="0.3">
      <c r="B35" s="739">
        <v>33</v>
      </c>
      <c r="C35" s="737">
        <f>+'[5]PBI 1994'!P47</f>
        <v>6464.391005200001</v>
      </c>
      <c r="D35" s="737">
        <f>+C35*(100+J58)/100</f>
        <v>6768.2173824444017</v>
      </c>
      <c r="E35" s="737">
        <f>+'[5]PBI 1994'!Q47</f>
        <v>11022.072907846539</v>
      </c>
      <c r="F35" s="740">
        <f>+E35*'[6]5 (oferta-demanda corrientes)'!$Y$24/$E$48</f>
        <v>12404.74510308022</v>
      </c>
      <c r="G35" s="741">
        <f>+D35*'oferta-demanda'!$M$78/$D$48</f>
        <v>12427.68862665573</v>
      </c>
      <c r="J35" s="738" t="s">
        <v>904</v>
      </c>
      <c r="K35" s="738">
        <v>2221</v>
      </c>
      <c r="L35" s="738">
        <v>1.74</v>
      </c>
      <c r="M35" s="738">
        <v>19.059999999999999</v>
      </c>
      <c r="N35" s="738">
        <v>9.06</v>
      </c>
    </row>
    <row r="36" spans="2:14" ht="13" x14ac:dyDescent="0.3">
      <c r="B36" s="739">
        <v>34</v>
      </c>
      <c r="C36" s="737">
        <f>+'[5]PBI 1994'!P48</f>
        <v>19152.4494577</v>
      </c>
      <c r="D36" s="737">
        <f>+C36*(100+J60)/100</f>
        <v>20052.6145822119</v>
      </c>
      <c r="E36" s="737">
        <f>+'[5]PBI 1994'!Q48</f>
        <v>28551.948125322666</v>
      </c>
      <c r="F36" s="740">
        <f>+E36*'[6]5 (oferta-demanda corrientes)'!$Y$24/$E$48</f>
        <v>32133.668653095072</v>
      </c>
      <c r="G36" s="741">
        <f>+D36*'oferta-demanda'!$M$78/$D$48</f>
        <v>36820.278678469709</v>
      </c>
      <c r="J36" s="738" t="s">
        <v>905</v>
      </c>
      <c r="K36" s="738">
        <v>2694</v>
      </c>
      <c r="L36" s="738">
        <v>2.31</v>
      </c>
      <c r="M36" s="738">
        <v>7.58</v>
      </c>
      <c r="N36" s="738">
        <v>9.98</v>
      </c>
    </row>
    <row r="37" spans="2:14" ht="13" x14ac:dyDescent="0.3">
      <c r="B37" s="739">
        <v>35</v>
      </c>
      <c r="C37" s="737">
        <f>+'[5]PBI 1994'!P49</f>
        <v>10309.495174889233</v>
      </c>
      <c r="D37" s="737">
        <f>+C37*(100+$J$62)/100</f>
        <v>10928.064885382588</v>
      </c>
      <c r="E37" s="737">
        <f>+'[5]PBI 1994'!Q49</f>
        <v>16477.727623680035</v>
      </c>
      <c r="F37" s="740">
        <f>+E37*'[6]5 (oferta-demanda corrientes)'!$Y$24/$E$48</f>
        <v>18544.78851289599</v>
      </c>
      <c r="G37" s="741">
        <f>+D37*'oferta-demanda'!$M$78/$D$48</f>
        <v>20065.931694170238</v>
      </c>
      <c r="J37" s="738" t="s">
        <v>906</v>
      </c>
      <c r="K37" s="738" t="s">
        <v>559</v>
      </c>
      <c r="L37" s="738">
        <v>2.92</v>
      </c>
      <c r="M37" s="738">
        <v>19.190000000000001</v>
      </c>
      <c r="N37" s="738">
        <v>0.78</v>
      </c>
    </row>
    <row r="38" spans="2:14" ht="13" x14ac:dyDescent="0.3">
      <c r="B38" s="739">
        <v>36</v>
      </c>
      <c r="C38" s="737">
        <f>+'[5]PBI 1994'!P50</f>
        <v>2801.6512685578118</v>
      </c>
      <c r="D38" s="737">
        <f t="shared" ref="D38:D47" si="1">+C38*(100+$J$62)/100</f>
        <v>2969.7503446712803</v>
      </c>
      <c r="E38" s="737">
        <f>+'[5]PBI 1994'!Q50</f>
        <v>4770.4685160506742</v>
      </c>
      <c r="F38" s="740">
        <f>+E38*'[6]5 (oferta-demanda corrientes)'!$Y$24/$E$48</f>
        <v>5368.9035137619758</v>
      </c>
      <c r="G38" s="741">
        <f>+D38*'oferta-demanda'!$M$78/$D$48</f>
        <v>5453.0063821840286</v>
      </c>
      <c r="J38" s="738" t="s">
        <v>907</v>
      </c>
      <c r="K38" s="738">
        <v>3120</v>
      </c>
      <c r="L38" s="738">
        <v>0.22</v>
      </c>
      <c r="M38" s="738">
        <v>21.24</v>
      </c>
      <c r="N38" s="738">
        <v>55.97</v>
      </c>
    </row>
    <row r="39" spans="2:14" ht="13" x14ac:dyDescent="0.3">
      <c r="B39" s="739">
        <v>37</v>
      </c>
      <c r="C39" s="737">
        <f>+'[5]PBI 1994'!P51</f>
        <v>335.67534317783105</v>
      </c>
      <c r="D39" s="737">
        <f t="shared" si="1"/>
        <v>355.81586376850095</v>
      </c>
      <c r="E39" s="737">
        <f>+'[5]PBI 1994'!Q51</f>
        <v>757.59557936012698</v>
      </c>
      <c r="F39" s="740">
        <f>+E39*'[6]5 (oferta-demanda corrientes)'!$Y$24/$E$48</f>
        <v>852.63272451160628</v>
      </c>
      <c r="G39" s="741">
        <f>+D39*'oferta-demanda'!$M$78/$D$48</f>
        <v>653.34319414877461</v>
      </c>
      <c r="J39" s="738" t="s">
        <v>908</v>
      </c>
      <c r="K39" s="738">
        <v>3110</v>
      </c>
      <c r="L39" s="738">
        <v>0.35</v>
      </c>
      <c r="M39" s="738">
        <v>24.62</v>
      </c>
      <c r="N39" s="738">
        <v>53.28</v>
      </c>
    </row>
    <row r="40" spans="2:14" ht="13" x14ac:dyDescent="0.3">
      <c r="B40" s="739">
        <v>38</v>
      </c>
      <c r="C40" s="737">
        <f>+'[5]PBI 1994'!P52</f>
        <v>3331.7854124719715</v>
      </c>
      <c r="D40" s="737">
        <f t="shared" si="1"/>
        <v>3531.69253722029</v>
      </c>
      <c r="E40" s="737">
        <f>+'[5]PBI 1994'!Q52</f>
        <v>5795.8846088541213</v>
      </c>
      <c r="F40" s="740">
        <f>+E40*'[6]5 (oferta-demanda corrientes)'!$Y$24/$E$48</f>
        <v>6522.9536967151225</v>
      </c>
      <c r="G40" s="741">
        <f>+D40*'oferta-demanda'!$M$78/$D$48</f>
        <v>6484.8353262858664</v>
      </c>
      <c r="J40" s="738" t="s">
        <v>909</v>
      </c>
      <c r="K40" s="738">
        <v>3410</v>
      </c>
      <c r="L40" s="738">
        <v>0.93</v>
      </c>
      <c r="M40" s="738">
        <v>165.4</v>
      </c>
      <c r="N40" s="738">
        <v>93.54</v>
      </c>
    </row>
    <row r="41" spans="2:14" ht="13" x14ac:dyDescent="0.3">
      <c r="B41" s="739">
        <v>39</v>
      </c>
      <c r="C41" s="737">
        <f>+'[5]PBI 1994'!P53</f>
        <v>9100.3769897590773</v>
      </c>
      <c r="D41" s="737">
        <f t="shared" si="1"/>
        <v>9646.3996091446224</v>
      </c>
      <c r="E41" s="737">
        <f>+'[5]PBI 1994'!Q53</f>
        <v>17197.640240278582</v>
      </c>
      <c r="F41" s="740">
        <f>+E41*'[6]5 (oferta-demanda corrientes)'!$Y$24/$E$48</f>
        <v>19355.011107144939</v>
      </c>
      <c r="G41" s="741">
        <f>+D41*'oferta-demanda'!$M$78/$D$48</f>
        <v>17712.559147656437</v>
      </c>
    </row>
    <row r="42" spans="2:14" ht="13" x14ac:dyDescent="0.3">
      <c r="B42" s="739">
        <v>40</v>
      </c>
      <c r="C42" s="737">
        <f>+'[5]PBI 1994'!P54</f>
        <v>5162.36422311566</v>
      </c>
      <c r="D42" s="737">
        <f t="shared" si="1"/>
        <v>5472.1060765025995</v>
      </c>
      <c r="E42" s="737">
        <f>+'[5]PBI 1994'!Q54</f>
        <v>8596.2380503432778</v>
      </c>
      <c r="F42" s="740">
        <f>+E42*'[6]5 (oferta-demanda corrientes)'!$Y$24/$E$48</f>
        <v>9674.5995740960407</v>
      </c>
      <c r="G42" s="741">
        <f>+D42*'oferta-demanda'!$M$78/$D$48</f>
        <v>10047.790519731241</v>
      </c>
      <c r="J42" s="738">
        <v>-1.1000000000000001</v>
      </c>
      <c r="K42" s="738" t="s">
        <v>910</v>
      </c>
    </row>
    <row r="43" spans="2:14" ht="13" x14ac:dyDescent="0.3">
      <c r="B43" s="739">
        <v>41</v>
      </c>
      <c r="C43" s="737">
        <f>+'[5]PBI 1994'!P55</f>
        <v>4508.2865491954954</v>
      </c>
      <c r="D43" s="737">
        <f t="shared" si="1"/>
        <v>4778.783742147225</v>
      </c>
      <c r="E43" s="737">
        <f>+'[5]PBI 1994'!Q55</f>
        <v>6948.494024081866</v>
      </c>
      <c r="F43" s="740">
        <f>+E43*'[6]5 (oferta-demanda corrientes)'!$Y$24/$E$48</f>
        <v>7820.1530637354572</v>
      </c>
      <c r="G43" s="741">
        <f>+D43*'oferta-demanda'!$M$78/$D$48</f>
        <v>8774.723535856856</v>
      </c>
      <c r="J43" s="738">
        <v>-3.2</v>
      </c>
      <c r="K43" s="738" t="s">
        <v>911</v>
      </c>
    </row>
    <row r="44" spans="2:14" ht="13" x14ac:dyDescent="0.3">
      <c r="B44" s="739">
        <v>42</v>
      </c>
      <c r="C44" s="737">
        <f>+'[5]PBI 1994'!P56</f>
        <v>761.21214899347603</v>
      </c>
      <c r="D44" s="737">
        <f t="shared" si="1"/>
        <v>806.88487793308468</v>
      </c>
      <c r="E44" s="737">
        <f>+'[5]PBI 1994'!Q56</f>
        <v>1330.0961489358006</v>
      </c>
      <c r="F44" s="740">
        <f>+E44*'[6]5 (oferta-demanda corrientes)'!$Y$24/$E$48</f>
        <v>1496.9510570367709</v>
      </c>
      <c r="G44" s="741">
        <f>+D44*'oferta-demanda'!$M$78/$D$48</f>
        <v>1481.5886449687132</v>
      </c>
      <c r="J44" s="738">
        <v>2</v>
      </c>
      <c r="K44" s="738" t="s">
        <v>912</v>
      </c>
    </row>
    <row r="45" spans="2:14" ht="13" x14ac:dyDescent="0.3">
      <c r="B45" s="739">
        <v>43</v>
      </c>
      <c r="C45" s="737">
        <f>+'[5]PBI 1994'!P57</f>
        <v>2158.0272677413814</v>
      </c>
      <c r="D45" s="737">
        <f t="shared" si="1"/>
        <v>2287.5089038058645</v>
      </c>
      <c r="E45" s="737">
        <f>+'[5]PBI 1994'!Q57</f>
        <v>3924.0449289407384</v>
      </c>
      <c r="F45" s="740">
        <f>+E45*'[6]5 (oferta-demanda corrientes)'!$Y$24/$E$48</f>
        <v>4416.2996855057745</v>
      </c>
      <c r="G45" s="741">
        <f>+D45*'oferta-demanda'!$M$78/$D$48</f>
        <v>4200.2859513555804</v>
      </c>
    </row>
    <row r="46" spans="2:14" ht="13" x14ac:dyDescent="0.3">
      <c r="B46" s="739">
        <v>44</v>
      </c>
      <c r="C46" s="737">
        <f>+'[5]PBI 1994'!P58</f>
        <v>4242.6834182317962</v>
      </c>
      <c r="D46" s="737">
        <f t="shared" si="1"/>
        <v>4497.2444233257038</v>
      </c>
      <c r="E46" s="737">
        <f>+'[5]PBI 1994'!Q58</f>
        <v>7728.1746075450928</v>
      </c>
      <c r="F46" s="740">
        <f>+E46*'[6]5 (oferta-demanda corrientes)'!$Y$24/$E$48</f>
        <v>8697.6412622391126</v>
      </c>
      <c r="G46" s="741">
        <f>+D46*'oferta-demanda'!$M$78/$D$48</f>
        <v>8257.7657029790098</v>
      </c>
      <c r="J46" s="738">
        <v>28.3</v>
      </c>
      <c r="K46" s="738" t="s">
        <v>913</v>
      </c>
    </row>
    <row r="47" spans="2:14" ht="13" x14ac:dyDescent="0.3">
      <c r="B47" s="739">
        <v>45</v>
      </c>
      <c r="C47" s="737">
        <f>+'[5]PBI 1994'!P59</f>
        <v>8051.6073243651344</v>
      </c>
      <c r="D47" s="737">
        <f t="shared" si="1"/>
        <v>8534.7037638270431</v>
      </c>
      <c r="E47" s="737">
        <f>+'[5]PBI 1994'!Q59</f>
        <v>15240.777213128258</v>
      </c>
      <c r="F47" s="740">
        <f>+E47*'[6]5 (oferta-demanda corrientes)'!$Y$24/$E$48</f>
        <v>17152.667931192893</v>
      </c>
      <c r="G47" s="741">
        <f>+D47*'oferta-demanda'!$M$78/$D$48</f>
        <v>15671.28165426659</v>
      </c>
    </row>
    <row r="48" spans="2:14" ht="13" x14ac:dyDescent="0.3">
      <c r="B48" s="739"/>
      <c r="C48" s="737">
        <f>+SUM(C3:C47)</f>
        <v>119386.27786746004</v>
      </c>
      <c r="D48" s="737">
        <f>+SUM(D3:D47)</f>
        <v>126909.5775258252</v>
      </c>
      <c r="E48" s="737">
        <f>+SUM(E3:E47)</f>
        <v>188474.37621875806</v>
      </c>
      <c r="F48" s="737">
        <f>+SUM(F3:F47)</f>
        <v>212117.68557540103</v>
      </c>
      <c r="G48" s="737">
        <f>+SUM(G3:G47)</f>
        <v>233029.26370573574</v>
      </c>
      <c r="J48" s="738">
        <v>5.4</v>
      </c>
      <c r="K48" s="738" t="s">
        <v>914</v>
      </c>
    </row>
    <row r="49" spans="2:11" ht="13" x14ac:dyDescent="0.3">
      <c r="B49" s="739"/>
      <c r="J49" s="738">
        <v>5.2</v>
      </c>
      <c r="K49" s="738" t="s">
        <v>915</v>
      </c>
    </row>
    <row r="50" spans="2:11" x14ac:dyDescent="0.25">
      <c r="J50" s="738">
        <v>7.1</v>
      </c>
      <c r="K50" s="738" t="s">
        <v>916</v>
      </c>
    </row>
    <row r="52" spans="2:11" x14ac:dyDescent="0.25">
      <c r="J52" s="738">
        <v>6.7</v>
      </c>
      <c r="K52" s="738" t="s">
        <v>917</v>
      </c>
    </row>
    <row r="53" spans="2:11" x14ac:dyDescent="0.25">
      <c r="J53" s="738">
        <v>4.5999999999999996</v>
      </c>
      <c r="K53" s="738" t="s">
        <v>918</v>
      </c>
    </row>
    <row r="54" spans="2:11" x14ac:dyDescent="0.25">
      <c r="J54" s="738">
        <v>7.2</v>
      </c>
      <c r="K54" s="738" t="s">
        <v>919</v>
      </c>
    </row>
    <row r="56" spans="2:11" x14ac:dyDescent="0.25">
      <c r="J56" s="738">
        <v>4.5</v>
      </c>
      <c r="K56" s="738" t="s">
        <v>920</v>
      </c>
    </row>
    <row r="58" spans="2:11" x14ac:dyDescent="0.25">
      <c r="J58" s="738">
        <v>4.7</v>
      </c>
      <c r="K58" s="738" t="s">
        <v>921</v>
      </c>
    </row>
    <row r="60" spans="2:11" x14ac:dyDescent="0.25">
      <c r="J60" s="738">
        <v>4.7</v>
      </c>
      <c r="K60" s="738" t="s">
        <v>922</v>
      </c>
    </row>
    <row r="62" spans="2:11" x14ac:dyDescent="0.25">
      <c r="J62" s="738">
        <v>6</v>
      </c>
      <c r="K62" s="738" t="s">
        <v>923</v>
      </c>
    </row>
    <row r="64" spans="2:11" x14ac:dyDescent="0.25">
      <c r="J64" s="738">
        <v>5.2</v>
      </c>
      <c r="K64" s="738" t="s">
        <v>924</v>
      </c>
    </row>
    <row r="66" spans="10:11" x14ac:dyDescent="0.25">
      <c r="J66" s="738">
        <v>4</v>
      </c>
      <c r="K66" s="738" t="s">
        <v>925</v>
      </c>
    </row>
    <row r="68" spans="10:11" x14ac:dyDescent="0.25">
      <c r="J68" s="738">
        <v>5.0999999999999996</v>
      </c>
      <c r="K68" s="738" t="s">
        <v>926</v>
      </c>
    </row>
    <row r="70" spans="10:11" x14ac:dyDescent="0.25">
      <c r="J70" s="738">
        <v>2.8</v>
      </c>
      <c r="K70" s="738" t="s">
        <v>927</v>
      </c>
    </row>
    <row r="71" spans="10:11" x14ac:dyDescent="0.25">
      <c r="J71" s="738">
        <v>5.8</v>
      </c>
      <c r="K71" s="738" t="s">
        <v>928</v>
      </c>
    </row>
    <row r="73" spans="10:11" x14ac:dyDescent="0.25">
      <c r="K73" s="738" t="s">
        <v>929</v>
      </c>
    </row>
  </sheetData>
  <phoneticPr fontId="49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F66A0-AF85-46E9-ABDC-7D7A2894BB7C}">
  <dimension ref="B2:R3"/>
  <sheetViews>
    <sheetView workbookViewId="0">
      <selection activeCell="R3" sqref="R3"/>
    </sheetView>
  </sheetViews>
  <sheetFormatPr defaultColWidth="11" defaultRowHeight="13" x14ac:dyDescent="0.3"/>
  <cols>
    <col min="1" max="17" width="11" customWidth="1"/>
    <col min="18" max="18" width="13.44140625" customWidth="1"/>
  </cols>
  <sheetData>
    <row r="2" spans="2:18" x14ac:dyDescent="0.3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 t="s">
        <v>491</v>
      </c>
    </row>
    <row r="3" spans="2:18" x14ac:dyDescent="0.3">
      <c r="B3" s="209" t="s">
        <v>652</v>
      </c>
      <c r="C3" s="209">
        <f>+'ingresos gob. cent.'!$O$21/3*('datos prec. compr.'!BP20/'datos prec. compr.'!$CE$20)</f>
        <v>43525818.755564913</v>
      </c>
      <c r="D3" s="209">
        <f>+'ingresos gob. cent.'!$O$21/3*('datos prec. compr.'!BQ20/'datos prec. compr.'!$CE$20)</f>
        <v>7201848.3792692767</v>
      </c>
      <c r="E3" s="209">
        <f>+'ingresos gob. cent.'!$O$21/3*('datos prec. compr.'!BR20/'datos prec. compr.'!$CE$20)</f>
        <v>82273649.781899646</v>
      </c>
      <c r="F3" s="209">
        <f>+'ingresos gob. cent.'!$O$21/3*('datos prec. compr.'!BS20/'datos prec. compr.'!$CE$20)</f>
        <v>33070498.077951595</v>
      </c>
      <c r="G3" s="209">
        <f>+'ingresos gob. cent.'!$O$21/3*('datos prec. compr.'!BT20/'datos prec. compr.'!$CE$20)</f>
        <v>20315104.834078558</v>
      </c>
      <c r="H3" s="209">
        <f>+'ingresos gob. cent.'!$O$21/3*('datos prec. compr.'!BU20/'datos prec. compr.'!$CE$20)</f>
        <v>42267844.727143578</v>
      </c>
      <c r="I3" s="209">
        <f>+'ingresos gob. cent.'!$O$21/3*('datos prec. compr.'!BV20/'datos prec. compr.'!$CE$20)</f>
        <v>24715049.660753012</v>
      </c>
      <c r="J3" s="209">
        <f>+'ingresos gob. cent.'!$O$21/3*('datos prec. compr.'!BW20/'datos prec. compr.'!$CE$20)</f>
        <v>43631248.4024418</v>
      </c>
      <c r="K3" s="209">
        <f>+'ingresos gob. cent.'!$O$21/3*('datos prec. compr.'!BX20/'datos prec. compr.'!$CE$20)</f>
        <v>70459435.530461147</v>
      </c>
      <c r="L3" s="209">
        <f>+'ingresos gob. cent.'!$O$21/3*('datos prec. compr.'!BY20/'datos prec. compr.'!$CE$20)</f>
        <v>61360295.480138093</v>
      </c>
      <c r="M3" s="209">
        <f>+'ingresos gob. cent.'!$O$21/3*('datos prec. compr.'!BZ20/'datos prec. compr.'!$CE$20)</f>
        <v>22275871.449480154</v>
      </c>
      <c r="N3" s="209">
        <f>+'ingresos gob. cent.'!$O$21/3*('datos prec. compr.'!CA20/'datos prec. compr.'!$CE$20)</f>
        <v>21791822.226767603</v>
      </c>
      <c r="O3" s="209">
        <f>+'ingresos gob. cent.'!$O$21/3*('datos prec. compr.'!CB20/'datos prec. compr.'!$CE$20)</f>
        <v>178685221.37891155</v>
      </c>
      <c r="P3" s="209">
        <f>+'ingresos gob. cent.'!$O$21/3*('datos prec. compr.'!CC20/'datos prec. compr.'!$CE$20)</f>
        <v>120255224.89644255</v>
      </c>
      <c r="Q3" s="209">
        <f>+'ingresos gob. cent.'!$O$21/3*('datos prec. compr.'!CD20/'datos prec. compr.'!$CE$20)</f>
        <v>28477319.50293649</v>
      </c>
      <c r="R3" s="209">
        <f>+SUM(C3:Q3)</f>
        <v>800306253.08423996</v>
      </c>
    </row>
  </sheetData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</vt:i4>
      </vt:variant>
    </vt:vector>
  </HeadingPairs>
  <TitlesOfParts>
    <vt:vector size="34" baseType="lpstr">
      <vt:lpstr>SAM (act y bienes)</vt:lpstr>
      <vt:lpstr>SAM macro</vt:lpstr>
      <vt:lpstr>MICROSAM</vt:lpstr>
      <vt:lpstr>datos prec. compr.</vt:lpstr>
      <vt:lpstr>precios bas.</vt:lpstr>
      <vt:lpstr>Parámetros</vt:lpstr>
      <vt:lpstr>reparto pbi</vt:lpstr>
      <vt:lpstr>45 ramas</vt:lpstr>
      <vt:lpstr>fonavi</vt:lpstr>
      <vt:lpstr>Matriz 15x15</vt:lpstr>
      <vt:lpstr>Trabajo por tipo</vt:lpstr>
      <vt:lpstr>Cuadro empleo</vt:lpstr>
      <vt:lpstr>ingresos (laborales)</vt:lpstr>
      <vt:lpstr>transferencias hogares</vt:lpstr>
      <vt:lpstr>Ingresos 1997</vt:lpstr>
      <vt:lpstr>utilidades distribuidas</vt:lpstr>
      <vt:lpstr>impuestos hogares</vt:lpstr>
      <vt:lpstr>transferencias gobieno</vt:lpstr>
      <vt:lpstr>balanza de pagos</vt:lpstr>
      <vt:lpstr>oferta-demanda</vt:lpstr>
      <vt:lpstr>crédito BCRP</vt:lpstr>
      <vt:lpstr>opr. gob. gen. y sector no fin.</vt:lpstr>
      <vt:lpstr>ingresos gob. cent.</vt:lpstr>
      <vt:lpstr>operaciones gob. cent.</vt:lpstr>
      <vt:lpstr>operac. gob.  locales</vt:lpstr>
      <vt:lpstr>utilid empresas estatales</vt:lpstr>
      <vt:lpstr>gasto publico</vt:lpstr>
      <vt:lpstr>Programas sociales</vt:lpstr>
      <vt:lpstr>gasto gob. cent.</vt:lpstr>
      <vt:lpstr>ingresos gobierno</vt:lpstr>
      <vt:lpstr>'SAM (act y bienes)'!Print_Area</vt:lpstr>
      <vt:lpstr>'SAM macro'!Print_Area</vt:lpstr>
      <vt:lpstr>'Cuadro empleo'!Print_Titles</vt:lpstr>
      <vt:lpstr>'Ingresos 1997'!TABLE</vt:lpstr>
    </vt:vector>
  </TitlesOfParts>
  <Company>GRADE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14-18</dc:title>
  <dc:creator>Juan Manuel García Carpio</dc:creator>
  <cp:lastModifiedBy>Mitch mphilli2@stedwards.edu</cp:lastModifiedBy>
  <cp:lastPrinted>2000-03-16T15:46:11Z</cp:lastPrinted>
  <dcterms:created xsi:type="dcterms:W3CDTF">2002-03-20T22:18:53Z</dcterms:created>
  <dcterms:modified xsi:type="dcterms:W3CDTF">2025-07-10T12:00:17Z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580596154</vt:i4>
  </property>
  <property fmtid="{D5CDD505-2E9C-101B-9397-08002B2CF9AE}" pid="3" name="_EmailSubject">
    <vt:lpwstr>SAM</vt:lpwstr>
  </property>
  <property fmtid="{D5CDD505-2E9C-101B-9397-08002B2CF9AE}" pid="4" name="_AuthorEmail">
    <vt:lpwstr>jgarcia@mef.gob.pe</vt:lpwstr>
  </property>
  <property fmtid="{D5CDD505-2E9C-101B-9397-08002B2CF9AE}" pid="5" name="_AuthorEmailDisplayName">
    <vt:lpwstr>Juan Manuel García</vt:lpwstr>
  </property>
  <property fmtid="{D5CDD505-2E9C-101B-9397-08002B2CF9AE}" pid="6" name="_PreviousAdHocReviewCycleID">
    <vt:i4>1730681403</vt:i4>
  </property>
  <property fmtid="{D5CDD505-2E9C-101B-9397-08002B2CF9AE}" pid="7" name="_ReviewingToolsShownOnce">
    <vt:lpwstr/>
  </property>
</Properties>
</file>