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DT\OpenEx\MyProjects\StimParam_2AFC\UserFiles\"/>
    </mc:Choice>
  </mc:AlternateContent>
  <bookViews>
    <workbookView xWindow="0" yWindow="0" windowWidth="15360" windowHeight="8250" activeTab="2"/>
  </bookViews>
  <sheets>
    <sheet name="StimParameters_for2AFC" sheetId="1" r:id="rId1"/>
    <sheet name="TestParameters" sheetId="5" r:id="rId2"/>
    <sheet name="StimParameters_forJND" sheetId="6" r:id="rId3"/>
    <sheet name="50K" sheetId="2" r:id="rId4"/>
    <sheet name="25K" sheetId="3" r:id="rId5"/>
    <sheet name="Frequencies that Lise tested" sheetId="4" r:id="rId6"/>
  </sheets>
  <calcPr calcId="162913" concurrentCalc="0"/>
</workbook>
</file>

<file path=xl/calcChain.xml><?xml version="1.0" encoding="utf-8"?>
<calcChain xmlns="http://schemas.openxmlformats.org/spreadsheetml/2006/main">
  <c r="AG4" i="6" l="1"/>
  <c r="H4" i="6"/>
  <c r="AG5" i="6"/>
  <c r="H5" i="6"/>
  <c r="AG6" i="6"/>
  <c r="H6" i="6"/>
  <c r="AG7" i="6"/>
  <c r="H7" i="6"/>
  <c r="AG8" i="6"/>
  <c r="H8" i="6"/>
  <c r="AG9" i="6"/>
  <c r="H9" i="6"/>
  <c r="AG10" i="6"/>
  <c r="H10" i="6"/>
  <c r="AG11" i="6"/>
  <c r="H11" i="6"/>
  <c r="AG12" i="6"/>
  <c r="H12" i="6"/>
  <c r="H3" i="6"/>
  <c r="AE4" i="6"/>
  <c r="G4" i="6"/>
  <c r="AE5" i="6"/>
  <c r="G5" i="6"/>
  <c r="AE6" i="6"/>
  <c r="G6" i="6"/>
  <c r="G7" i="6"/>
  <c r="AE8" i="6"/>
  <c r="G8" i="6"/>
  <c r="AE9" i="6"/>
  <c r="G9" i="6"/>
  <c r="AE10" i="6"/>
  <c r="G10" i="6"/>
  <c r="AE11" i="6"/>
  <c r="G11" i="6"/>
  <c r="AE12" i="6"/>
  <c r="G12" i="6"/>
  <c r="G3" i="6"/>
  <c r="AC4" i="6"/>
  <c r="AC5" i="6"/>
  <c r="AC6" i="6"/>
  <c r="AC7" i="6"/>
  <c r="AC8" i="6"/>
  <c r="AC9" i="6"/>
  <c r="AC10" i="6"/>
  <c r="AC11" i="6"/>
  <c r="AC12" i="6"/>
  <c r="AA4" i="1"/>
  <c r="AA5" i="1"/>
  <c r="AA6" i="1"/>
  <c r="AA7" i="1"/>
  <c r="AA8" i="1"/>
  <c r="AA9" i="1"/>
  <c r="AA10" i="1"/>
  <c r="AA11" i="1"/>
  <c r="AA3" i="1"/>
  <c r="X3" i="1"/>
  <c r="B9" i="6"/>
  <c r="B10" i="6"/>
  <c r="B11" i="6"/>
  <c r="B12" i="6"/>
  <c r="B8" i="6"/>
  <c r="F3" i="1"/>
  <c r="F8" i="6"/>
  <c r="F9" i="6"/>
  <c r="F10" i="6"/>
  <c r="F11" i="6"/>
  <c r="F12" i="6"/>
  <c r="B4" i="6"/>
  <c r="F4" i="6"/>
  <c r="B5" i="6"/>
  <c r="F5" i="6"/>
  <c r="B6" i="6"/>
  <c r="F6" i="6"/>
  <c r="B7" i="6"/>
  <c r="F7" i="6"/>
  <c r="B3" i="6"/>
  <c r="F3" i="6"/>
  <c r="H5" i="5"/>
  <c r="G4" i="5"/>
  <c r="F3" i="5"/>
  <c r="H16" i="1"/>
  <c r="F5" i="1"/>
  <c r="B5" i="1"/>
  <c r="H15" i="1"/>
  <c r="G11" i="1"/>
  <c r="F10" i="1"/>
  <c r="H10" i="1"/>
  <c r="H11" i="1"/>
  <c r="H9" i="1"/>
  <c r="F7" i="1"/>
  <c r="F4" i="1"/>
  <c r="B4" i="1"/>
  <c r="G4" i="1"/>
  <c r="B3" i="1"/>
  <c r="B6" i="1"/>
  <c r="F6" i="1"/>
  <c r="B7" i="1"/>
  <c r="B8" i="1"/>
  <c r="F8" i="1"/>
  <c r="B9" i="1"/>
  <c r="F9" i="1"/>
  <c r="B10" i="1"/>
  <c r="B11" i="1"/>
  <c r="F11" i="1"/>
  <c r="AB3" i="1"/>
  <c r="AF2" i="1"/>
  <c r="J5" i="1"/>
  <c r="K5" i="1"/>
  <c r="L5" i="1"/>
  <c r="Q5" i="1"/>
  <c r="R5" i="1"/>
  <c r="S5" i="1"/>
  <c r="AD14" i="1"/>
  <c r="J3" i="1"/>
  <c r="Q3" i="1"/>
  <c r="AC12" i="1"/>
  <c r="AB12" i="1"/>
  <c r="K3" i="1"/>
  <c r="L3" i="1"/>
  <c r="R3" i="1"/>
  <c r="S3" i="1"/>
  <c r="AD12" i="1"/>
  <c r="Q4" i="1"/>
  <c r="R4" i="1"/>
  <c r="S4" i="1"/>
  <c r="J4" i="1"/>
  <c r="K4" i="1"/>
  <c r="L4" i="1"/>
  <c r="AD4" i="1"/>
  <c r="AD5" i="1"/>
  <c r="Q6" i="1"/>
  <c r="R6" i="1"/>
  <c r="S6" i="1"/>
  <c r="J6" i="1"/>
  <c r="K6" i="1"/>
  <c r="L6" i="1"/>
  <c r="AD6" i="1"/>
  <c r="Q7" i="1"/>
  <c r="R7" i="1"/>
  <c r="S7" i="1"/>
  <c r="J7" i="1"/>
  <c r="K7" i="1"/>
  <c r="L7" i="1"/>
  <c r="AD7" i="1"/>
  <c r="Q8" i="1"/>
  <c r="R8" i="1"/>
  <c r="S8" i="1"/>
  <c r="J8" i="1"/>
  <c r="K8" i="1"/>
  <c r="L8" i="1"/>
  <c r="AD8" i="1"/>
  <c r="Q9" i="1"/>
  <c r="R9" i="1"/>
  <c r="S9" i="1"/>
  <c r="J9" i="1"/>
  <c r="K9" i="1"/>
  <c r="L9" i="1"/>
  <c r="AD9" i="1"/>
  <c r="Q10" i="1"/>
  <c r="R10" i="1"/>
  <c r="S10" i="1"/>
  <c r="J10" i="1"/>
  <c r="K10" i="1"/>
  <c r="L10" i="1"/>
  <c r="AD10" i="1"/>
  <c r="Q11" i="1"/>
  <c r="R11" i="1"/>
  <c r="S11" i="1"/>
  <c r="J11" i="1"/>
  <c r="K11" i="1"/>
  <c r="L11" i="1"/>
  <c r="AD11" i="1"/>
  <c r="AD3" i="1"/>
  <c r="AB4" i="1"/>
  <c r="AC4" i="1"/>
  <c r="M9" i="1"/>
  <c r="P9" i="1"/>
  <c r="T9" i="1"/>
  <c r="W9" i="1"/>
  <c r="X9" i="1"/>
  <c r="AD13" i="1"/>
  <c r="AD15" i="1"/>
  <c r="AD16" i="1"/>
  <c r="AD17" i="1"/>
  <c r="AD18" i="1"/>
  <c r="AD19" i="1"/>
  <c r="AD20" i="1"/>
  <c r="AC13" i="1"/>
  <c r="AC14" i="1"/>
  <c r="AC15" i="1"/>
  <c r="AC16" i="1"/>
  <c r="AC17" i="1"/>
  <c r="AC18" i="1"/>
  <c r="AC19" i="1"/>
  <c r="AC20" i="1"/>
  <c r="AC5" i="1"/>
  <c r="AC6" i="1"/>
  <c r="AC7" i="1"/>
  <c r="AC8" i="1"/>
  <c r="AC9" i="1"/>
  <c r="AC10" i="1"/>
  <c r="AC11" i="1"/>
  <c r="AC3" i="1"/>
  <c r="AB13" i="1"/>
  <c r="AB14" i="1"/>
  <c r="AB15" i="1"/>
  <c r="AB16" i="1"/>
  <c r="AB17" i="1"/>
  <c r="AB18" i="1"/>
  <c r="AB19" i="1"/>
  <c r="AB20" i="1"/>
  <c r="AB5" i="1"/>
  <c r="AB6" i="1"/>
  <c r="AB7" i="1"/>
  <c r="AB8" i="1"/>
  <c r="AB9" i="1"/>
  <c r="AB10" i="1"/>
  <c r="AB11" i="1"/>
  <c r="B75" i="3"/>
  <c r="F75" i="3"/>
  <c r="B74" i="3"/>
  <c r="F74" i="3"/>
  <c r="B73" i="3"/>
  <c r="F73" i="3"/>
  <c r="B72" i="3"/>
  <c r="F72" i="3"/>
  <c r="B71" i="3"/>
  <c r="F71" i="3"/>
  <c r="B70" i="3"/>
  <c r="F70" i="3"/>
  <c r="B69" i="3"/>
  <c r="F69" i="3"/>
  <c r="B68" i="3"/>
  <c r="F68" i="3"/>
  <c r="B67" i="3"/>
  <c r="F67" i="3"/>
  <c r="B66" i="3"/>
  <c r="F66" i="3"/>
  <c r="B60" i="3"/>
  <c r="F60" i="3"/>
  <c r="B64" i="3"/>
  <c r="F64" i="3"/>
  <c r="B63" i="3"/>
  <c r="F63" i="3"/>
  <c r="B62" i="3"/>
  <c r="F62" i="3"/>
  <c r="B61" i="3"/>
  <c r="F61" i="3"/>
  <c r="B59" i="3"/>
  <c r="F59" i="3"/>
  <c r="B58" i="3"/>
  <c r="F58" i="3"/>
  <c r="B57" i="3"/>
  <c r="F57" i="3"/>
  <c r="B56" i="3"/>
  <c r="F56" i="3"/>
  <c r="B55" i="3"/>
  <c r="F55" i="3"/>
  <c r="AB54" i="3"/>
  <c r="AB2" i="6"/>
  <c r="Q3" i="6"/>
  <c r="R3" i="6"/>
  <c r="T3" i="6"/>
  <c r="W3" i="6"/>
  <c r="J3" i="6"/>
  <c r="K3" i="6"/>
  <c r="M3" i="6"/>
  <c r="P3" i="6"/>
  <c r="X3" i="6"/>
  <c r="J12" i="6"/>
  <c r="K12" i="6"/>
  <c r="M12" i="6"/>
  <c r="N12" i="6"/>
  <c r="O12" i="6"/>
  <c r="Q12" i="6"/>
  <c r="R12" i="6"/>
  <c r="T12" i="6"/>
  <c r="U12" i="6"/>
  <c r="V12" i="6"/>
  <c r="Z12" i="6"/>
  <c r="P12" i="6"/>
  <c r="W12" i="6"/>
  <c r="Y12" i="6"/>
  <c r="X12" i="6"/>
  <c r="S12" i="6"/>
  <c r="L12" i="6"/>
  <c r="J11" i="6"/>
  <c r="K11" i="6"/>
  <c r="M11" i="6"/>
  <c r="N11" i="6"/>
  <c r="O11" i="6"/>
  <c r="Q11" i="6"/>
  <c r="R11" i="6"/>
  <c r="T11" i="6"/>
  <c r="U11" i="6"/>
  <c r="V11" i="6"/>
  <c r="Z11" i="6"/>
  <c r="P11" i="6"/>
  <c r="W11" i="6"/>
  <c r="Y11" i="6"/>
  <c r="X11" i="6"/>
  <c r="S11" i="6"/>
  <c r="L11" i="6"/>
  <c r="J10" i="6"/>
  <c r="K10" i="6"/>
  <c r="M10" i="6"/>
  <c r="N10" i="6"/>
  <c r="O10" i="6"/>
  <c r="Q10" i="6"/>
  <c r="R10" i="6"/>
  <c r="T10" i="6"/>
  <c r="U10" i="6"/>
  <c r="V10" i="6"/>
  <c r="Z10" i="6"/>
  <c r="P10" i="6"/>
  <c r="W10" i="6"/>
  <c r="Y10" i="6"/>
  <c r="X10" i="6"/>
  <c r="S10" i="6"/>
  <c r="L10" i="6"/>
  <c r="J9" i="6"/>
  <c r="K9" i="6"/>
  <c r="M9" i="6"/>
  <c r="N9" i="6"/>
  <c r="O9" i="6"/>
  <c r="Q9" i="6"/>
  <c r="R9" i="6"/>
  <c r="T9" i="6"/>
  <c r="U9" i="6"/>
  <c r="V9" i="6"/>
  <c r="Z9" i="6"/>
  <c r="P9" i="6"/>
  <c r="W9" i="6"/>
  <c r="Y9" i="6"/>
  <c r="X9" i="6"/>
  <c r="S9" i="6"/>
  <c r="L9" i="6"/>
  <c r="J8" i="6"/>
  <c r="K8" i="6"/>
  <c r="M8" i="6"/>
  <c r="N8" i="6"/>
  <c r="O8" i="6"/>
  <c r="Q8" i="6"/>
  <c r="R8" i="6"/>
  <c r="T8" i="6"/>
  <c r="U8" i="6"/>
  <c r="V8" i="6"/>
  <c r="Z8" i="6"/>
  <c r="P8" i="6"/>
  <c r="W8" i="6"/>
  <c r="Y8" i="6"/>
  <c r="X8" i="6"/>
  <c r="S8" i="6"/>
  <c r="L8" i="6"/>
  <c r="J7" i="6"/>
  <c r="K7" i="6"/>
  <c r="M7" i="6"/>
  <c r="N7" i="6"/>
  <c r="O7" i="6"/>
  <c r="Q7" i="6"/>
  <c r="R7" i="6"/>
  <c r="T7" i="6"/>
  <c r="U7" i="6"/>
  <c r="V7" i="6"/>
  <c r="Z7" i="6"/>
  <c r="P7" i="6"/>
  <c r="W7" i="6"/>
  <c r="Y7" i="6"/>
  <c r="X7" i="6"/>
  <c r="S7" i="6"/>
  <c r="L7" i="6"/>
  <c r="J6" i="6"/>
  <c r="K6" i="6"/>
  <c r="M6" i="6"/>
  <c r="N6" i="6"/>
  <c r="O6" i="6"/>
  <c r="Q6" i="6"/>
  <c r="R6" i="6"/>
  <c r="T6" i="6"/>
  <c r="U6" i="6"/>
  <c r="V6" i="6"/>
  <c r="Z6" i="6"/>
  <c r="P6" i="6"/>
  <c r="W6" i="6"/>
  <c r="Y6" i="6"/>
  <c r="X6" i="6"/>
  <c r="S6" i="6"/>
  <c r="L6" i="6"/>
  <c r="J5" i="6"/>
  <c r="K5" i="6"/>
  <c r="M5" i="6"/>
  <c r="N5" i="6"/>
  <c r="O5" i="6"/>
  <c r="Q5" i="6"/>
  <c r="R5" i="6"/>
  <c r="T5" i="6"/>
  <c r="U5" i="6"/>
  <c r="V5" i="6"/>
  <c r="Z5" i="6"/>
  <c r="P5" i="6"/>
  <c r="W5" i="6"/>
  <c r="Y5" i="6"/>
  <c r="X5" i="6"/>
  <c r="S5" i="6"/>
  <c r="L5" i="6"/>
  <c r="J4" i="6"/>
  <c r="K4" i="6"/>
  <c r="M4" i="6"/>
  <c r="N4" i="6"/>
  <c r="O4" i="6"/>
  <c r="Q4" i="6"/>
  <c r="R4" i="6"/>
  <c r="T4" i="6"/>
  <c r="U4" i="6"/>
  <c r="V4" i="6"/>
  <c r="Z4" i="6"/>
  <c r="P4" i="6"/>
  <c r="W4" i="6"/>
  <c r="Y4" i="6"/>
  <c r="X4" i="6"/>
  <c r="S4" i="6"/>
  <c r="L4" i="6"/>
  <c r="N3" i="6"/>
  <c r="O3" i="6"/>
  <c r="U3" i="6"/>
  <c r="V3" i="6"/>
  <c r="Z3" i="6"/>
  <c r="Y3" i="6"/>
  <c r="S3" i="6"/>
  <c r="L3" i="6"/>
  <c r="M6" i="1"/>
  <c r="P6" i="1"/>
  <c r="T6" i="1"/>
  <c r="W6" i="1"/>
  <c r="Y6" i="1"/>
  <c r="M7" i="1"/>
  <c r="P7" i="1"/>
  <c r="T7" i="1"/>
  <c r="W7" i="1"/>
  <c r="Y7" i="1"/>
  <c r="M8" i="1"/>
  <c r="P8" i="1"/>
  <c r="T8" i="1"/>
  <c r="W8" i="1"/>
  <c r="Y8" i="1"/>
  <c r="Y9" i="1"/>
  <c r="M10" i="1"/>
  <c r="P10" i="1"/>
  <c r="T10" i="1"/>
  <c r="W10" i="1"/>
  <c r="Y10" i="1"/>
  <c r="M11" i="1"/>
  <c r="P11" i="1"/>
  <c r="T11" i="1"/>
  <c r="W11" i="1"/>
  <c r="Y11" i="1"/>
  <c r="M5" i="1"/>
  <c r="P5" i="1"/>
  <c r="T5" i="1"/>
  <c r="W5" i="1"/>
  <c r="Y5" i="1"/>
  <c r="M4" i="1"/>
  <c r="P4" i="1"/>
  <c r="T4" i="1"/>
  <c r="W4" i="1"/>
  <c r="Y4" i="1"/>
  <c r="M3" i="1"/>
  <c r="P3" i="1"/>
  <c r="T3" i="1"/>
  <c r="W3" i="1"/>
  <c r="Y3" i="1"/>
  <c r="AB3" i="5"/>
  <c r="B4" i="5"/>
  <c r="AB2" i="5"/>
  <c r="J4" i="5"/>
  <c r="K4" i="5"/>
  <c r="M4" i="5"/>
  <c r="P4" i="5"/>
  <c r="F4" i="5"/>
  <c r="Q4" i="5"/>
  <c r="R4" i="5"/>
  <c r="T4" i="5"/>
  <c r="W4" i="5"/>
  <c r="Y4" i="5"/>
  <c r="B5" i="5"/>
  <c r="J5" i="5"/>
  <c r="K5" i="5"/>
  <c r="M5" i="5"/>
  <c r="P5" i="5"/>
  <c r="F5" i="5"/>
  <c r="Q5" i="5"/>
  <c r="R5" i="5"/>
  <c r="T5" i="5"/>
  <c r="W5" i="5"/>
  <c r="Y5" i="5"/>
  <c r="B3" i="5"/>
  <c r="J3" i="5"/>
  <c r="K3" i="5"/>
  <c r="M3" i="5"/>
  <c r="P3" i="5"/>
  <c r="Q3" i="5"/>
  <c r="R3" i="5"/>
  <c r="T3" i="5"/>
  <c r="W3" i="5"/>
  <c r="Y3" i="5"/>
  <c r="X3" i="5"/>
  <c r="N5" i="5"/>
  <c r="O5" i="5"/>
  <c r="U5" i="5"/>
  <c r="V5" i="5"/>
  <c r="Z5" i="5"/>
  <c r="X5" i="5"/>
  <c r="S5" i="5"/>
  <c r="L5" i="5"/>
  <c r="N4" i="5"/>
  <c r="O4" i="5"/>
  <c r="U4" i="5"/>
  <c r="V4" i="5"/>
  <c r="Z4" i="5"/>
  <c r="X4" i="5"/>
  <c r="S4" i="5"/>
  <c r="L4" i="5"/>
  <c r="N3" i="5"/>
  <c r="O3" i="5"/>
  <c r="U3" i="5"/>
  <c r="V3" i="5"/>
  <c r="Z3" i="5"/>
  <c r="S3" i="5"/>
  <c r="L3" i="5"/>
  <c r="C7" i="4"/>
  <c r="C6" i="4"/>
  <c r="C5" i="4"/>
  <c r="C4" i="4"/>
  <c r="C3" i="4"/>
  <c r="C2" i="4"/>
  <c r="N11" i="1"/>
  <c r="O11" i="1"/>
  <c r="U11" i="1"/>
  <c r="V11" i="1"/>
  <c r="Z11" i="1"/>
  <c r="X11" i="1"/>
  <c r="N10" i="1"/>
  <c r="O10" i="1"/>
  <c r="U10" i="1"/>
  <c r="V10" i="1"/>
  <c r="Z10" i="1"/>
  <c r="X10" i="1"/>
  <c r="N9" i="1"/>
  <c r="O9" i="1"/>
  <c r="U9" i="1"/>
  <c r="V9" i="1"/>
  <c r="Z9" i="1"/>
  <c r="N8" i="1"/>
  <c r="O8" i="1"/>
  <c r="U8" i="1"/>
  <c r="V8" i="1"/>
  <c r="Z8" i="1"/>
  <c r="X8" i="1"/>
  <c r="N7" i="1"/>
  <c r="O7" i="1"/>
  <c r="U7" i="1"/>
  <c r="V7" i="1"/>
  <c r="Z7" i="1"/>
  <c r="X7" i="1"/>
  <c r="N6" i="1"/>
  <c r="O6" i="1"/>
  <c r="U6" i="1"/>
  <c r="V6" i="1"/>
  <c r="Z6" i="1"/>
  <c r="X6" i="1"/>
  <c r="N5" i="1"/>
  <c r="O5" i="1"/>
  <c r="U5" i="1"/>
  <c r="V5" i="1"/>
  <c r="Z5" i="1"/>
  <c r="X5" i="1"/>
  <c r="N4" i="1"/>
  <c r="O4" i="1"/>
  <c r="U4" i="1"/>
  <c r="V4" i="1"/>
  <c r="Z4" i="1"/>
  <c r="X4" i="1"/>
  <c r="N3" i="1"/>
  <c r="O3" i="1"/>
  <c r="U3" i="1"/>
  <c r="V3" i="1"/>
  <c r="Z3" i="1"/>
  <c r="F34" i="3"/>
  <c r="AA2" i="3"/>
  <c r="Q32" i="3"/>
  <c r="R32" i="3"/>
  <c r="T32" i="3"/>
  <c r="F31" i="3"/>
  <c r="Q29" i="3"/>
  <c r="R29" i="3"/>
  <c r="T29" i="3"/>
  <c r="O81" i="3"/>
  <c r="N81" i="3"/>
  <c r="O80" i="3"/>
  <c r="N80" i="3"/>
  <c r="O79" i="3"/>
  <c r="N79" i="3"/>
  <c r="O78" i="3"/>
  <c r="N78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J79" i="3"/>
  <c r="I79" i="3"/>
  <c r="F10" i="3"/>
  <c r="F7" i="3"/>
  <c r="F22" i="3"/>
  <c r="F19" i="3"/>
  <c r="J35" i="3"/>
  <c r="K35" i="3"/>
  <c r="M35" i="3"/>
  <c r="N35" i="3"/>
  <c r="O35" i="3"/>
  <c r="Q35" i="3"/>
  <c r="R35" i="3"/>
  <c r="T35" i="3"/>
  <c r="U35" i="3"/>
  <c r="V35" i="3"/>
  <c r="Y35" i="3"/>
  <c r="B35" i="3"/>
  <c r="P35" i="3"/>
  <c r="F35" i="3"/>
  <c r="W35" i="3"/>
  <c r="X35" i="3"/>
  <c r="S35" i="3"/>
  <c r="L35" i="3"/>
  <c r="J34" i="3"/>
  <c r="K34" i="3"/>
  <c r="M34" i="3"/>
  <c r="N34" i="3"/>
  <c r="O34" i="3"/>
  <c r="Q34" i="3"/>
  <c r="R34" i="3"/>
  <c r="T34" i="3"/>
  <c r="U34" i="3"/>
  <c r="V34" i="3"/>
  <c r="Y34" i="3"/>
  <c r="B34" i="3"/>
  <c r="P34" i="3"/>
  <c r="W34" i="3"/>
  <c r="X34" i="3"/>
  <c r="S34" i="3"/>
  <c r="L34" i="3"/>
  <c r="J33" i="3"/>
  <c r="K33" i="3"/>
  <c r="M33" i="3"/>
  <c r="N33" i="3"/>
  <c r="O33" i="3"/>
  <c r="Q33" i="3"/>
  <c r="R33" i="3"/>
  <c r="T33" i="3"/>
  <c r="U33" i="3"/>
  <c r="V33" i="3"/>
  <c r="Y33" i="3"/>
  <c r="B33" i="3"/>
  <c r="P33" i="3"/>
  <c r="F33" i="3"/>
  <c r="W33" i="3"/>
  <c r="X33" i="3"/>
  <c r="S33" i="3"/>
  <c r="L33" i="3"/>
  <c r="J32" i="3"/>
  <c r="K32" i="3"/>
  <c r="M32" i="3"/>
  <c r="N32" i="3"/>
  <c r="O32" i="3"/>
  <c r="U32" i="3"/>
  <c r="V32" i="3"/>
  <c r="Y32" i="3"/>
  <c r="B32" i="3"/>
  <c r="P32" i="3"/>
  <c r="F32" i="3"/>
  <c r="W32" i="3"/>
  <c r="X32" i="3"/>
  <c r="S32" i="3"/>
  <c r="L32" i="3"/>
  <c r="J31" i="3"/>
  <c r="K31" i="3"/>
  <c r="M31" i="3"/>
  <c r="N31" i="3"/>
  <c r="O31" i="3"/>
  <c r="Q31" i="3"/>
  <c r="R31" i="3"/>
  <c r="T31" i="3"/>
  <c r="U31" i="3"/>
  <c r="V31" i="3"/>
  <c r="Y31" i="3"/>
  <c r="B31" i="3"/>
  <c r="P31" i="3"/>
  <c r="W31" i="3"/>
  <c r="X31" i="3"/>
  <c r="S31" i="3"/>
  <c r="L31" i="3"/>
  <c r="J30" i="3"/>
  <c r="K30" i="3"/>
  <c r="M30" i="3"/>
  <c r="N30" i="3"/>
  <c r="O30" i="3"/>
  <c r="Q30" i="3"/>
  <c r="R30" i="3"/>
  <c r="T30" i="3"/>
  <c r="U30" i="3"/>
  <c r="V30" i="3"/>
  <c r="Y30" i="3"/>
  <c r="B30" i="3"/>
  <c r="P30" i="3"/>
  <c r="F30" i="3"/>
  <c r="W30" i="3"/>
  <c r="X30" i="3"/>
  <c r="S30" i="3"/>
  <c r="L30" i="3"/>
  <c r="J29" i="3"/>
  <c r="K29" i="3"/>
  <c r="M29" i="3"/>
  <c r="N29" i="3"/>
  <c r="O29" i="3"/>
  <c r="U29" i="3"/>
  <c r="V29" i="3"/>
  <c r="Y29" i="3"/>
  <c r="B29" i="3"/>
  <c r="P29" i="3"/>
  <c r="W29" i="3"/>
  <c r="X29" i="3"/>
  <c r="S29" i="3"/>
  <c r="L29" i="3"/>
  <c r="J28" i="3"/>
  <c r="K28" i="3"/>
  <c r="M28" i="3"/>
  <c r="N28" i="3"/>
  <c r="O28" i="3"/>
  <c r="Q28" i="3"/>
  <c r="R28" i="3"/>
  <c r="T28" i="3"/>
  <c r="U28" i="3"/>
  <c r="V28" i="3"/>
  <c r="Y28" i="3"/>
  <c r="B28" i="3"/>
  <c r="P28" i="3"/>
  <c r="W28" i="3"/>
  <c r="X28" i="3"/>
  <c r="S28" i="3"/>
  <c r="L28" i="3"/>
  <c r="J27" i="3"/>
  <c r="K27" i="3"/>
  <c r="M27" i="3"/>
  <c r="N27" i="3"/>
  <c r="O27" i="3"/>
  <c r="Q27" i="3"/>
  <c r="R27" i="3"/>
  <c r="T27" i="3"/>
  <c r="U27" i="3"/>
  <c r="V27" i="3"/>
  <c r="Y27" i="3"/>
  <c r="B27" i="3"/>
  <c r="P27" i="3"/>
  <c r="W27" i="3"/>
  <c r="X27" i="3"/>
  <c r="S27" i="3"/>
  <c r="L27" i="3"/>
  <c r="AA26" i="3"/>
  <c r="J23" i="3"/>
  <c r="K23" i="3"/>
  <c r="M23" i="3"/>
  <c r="N23" i="3"/>
  <c r="O23" i="3"/>
  <c r="Q23" i="3"/>
  <c r="R23" i="3"/>
  <c r="T23" i="3"/>
  <c r="U23" i="3"/>
  <c r="V23" i="3"/>
  <c r="Y23" i="3"/>
  <c r="B23" i="3"/>
  <c r="P23" i="3"/>
  <c r="F23" i="3"/>
  <c r="W23" i="3"/>
  <c r="X23" i="3"/>
  <c r="S23" i="3"/>
  <c r="L23" i="3"/>
  <c r="J22" i="3"/>
  <c r="K22" i="3"/>
  <c r="M22" i="3"/>
  <c r="N22" i="3"/>
  <c r="O22" i="3"/>
  <c r="Q22" i="3"/>
  <c r="R22" i="3"/>
  <c r="T22" i="3"/>
  <c r="U22" i="3"/>
  <c r="V22" i="3"/>
  <c r="Y22" i="3"/>
  <c r="B22" i="3"/>
  <c r="P22" i="3"/>
  <c r="W22" i="3"/>
  <c r="X22" i="3"/>
  <c r="S22" i="3"/>
  <c r="L22" i="3"/>
  <c r="J21" i="3"/>
  <c r="K21" i="3"/>
  <c r="M21" i="3"/>
  <c r="N21" i="3"/>
  <c r="O21" i="3"/>
  <c r="Q21" i="3"/>
  <c r="R21" i="3"/>
  <c r="T21" i="3"/>
  <c r="U21" i="3"/>
  <c r="V21" i="3"/>
  <c r="Y21" i="3"/>
  <c r="B21" i="3"/>
  <c r="P21" i="3"/>
  <c r="F21" i="3"/>
  <c r="W21" i="3"/>
  <c r="X21" i="3"/>
  <c r="S21" i="3"/>
  <c r="L21" i="3"/>
  <c r="J20" i="3"/>
  <c r="K20" i="3"/>
  <c r="M20" i="3"/>
  <c r="N20" i="3"/>
  <c r="O20" i="3"/>
  <c r="Q20" i="3"/>
  <c r="R20" i="3"/>
  <c r="T20" i="3"/>
  <c r="U20" i="3"/>
  <c r="V20" i="3"/>
  <c r="Y20" i="3"/>
  <c r="B20" i="3"/>
  <c r="P20" i="3"/>
  <c r="F20" i="3"/>
  <c r="W20" i="3"/>
  <c r="X20" i="3"/>
  <c r="S20" i="3"/>
  <c r="L20" i="3"/>
  <c r="J19" i="3"/>
  <c r="K19" i="3"/>
  <c r="M19" i="3"/>
  <c r="N19" i="3"/>
  <c r="O19" i="3"/>
  <c r="Q19" i="3"/>
  <c r="R19" i="3"/>
  <c r="T19" i="3"/>
  <c r="U19" i="3"/>
  <c r="V19" i="3"/>
  <c r="Y19" i="3"/>
  <c r="B19" i="3"/>
  <c r="P19" i="3"/>
  <c r="W19" i="3"/>
  <c r="X19" i="3"/>
  <c r="S19" i="3"/>
  <c r="L19" i="3"/>
  <c r="J18" i="3"/>
  <c r="K18" i="3"/>
  <c r="M18" i="3"/>
  <c r="N18" i="3"/>
  <c r="O18" i="3"/>
  <c r="Q18" i="3"/>
  <c r="R18" i="3"/>
  <c r="T18" i="3"/>
  <c r="U18" i="3"/>
  <c r="V18" i="3"/>
  <c r="Y18" i="3"/>
  <c r="B18" i="3"/>
  <c r="P18" i="3"/>
  <c r="F18" i="3"/>
  <c r="W18" i="3"/>
  <c r="X18" i="3"/>
  <c r="S18" i="3"/>
  <c r="L18" i="3"/>
  <c r="J17" i="3"/>
  <c r="K17" i="3"/>
  <c r="M17" i="3"/>
  <c r="N17" i="3"/>
  <c r="O17" i="3"/>
  <c r="Q17" i="3"/>
  <c r="R17" i="3"/>
  <c r="T17" i="3"/>
  <c r="U17" i="3"/>
  <c r="V17" i="3"/>
  <c r="Y17" i="3"/>
  <c r="B17" i="3"/>
  <c r="P17" i="3"/>
  <c r="W17" i="3"/>
  <c r="X17" i="3"/>
  <c r="S17" i="3"/>
  <c r="L17" i="3"/>
  <c r="J16" i="3"/>
  <c r="K16" i="3"/>
  <c r="M16" i="3"/>
  <c r="N16" i="3"/>
  <c r="O16" i="3"/>
  <c r="Q16" i="3"/>
  <c r="R16" i="3"/>
  <c r="T16" i="3"/>
  <c r="U16" i="3"/>
  <c r="V16" i="3"/>
  <c r="Y16" i="3"/>
  <c r="B16" i="3"/>
  <c r="P16" i="3"/>
  <c r="W16" i="3"/>
  <c r="X16" i="3"/>
  <c r="S16" i="3"/>
  <c r="L16" i="3"/>
  <c r="J15" i="3"/>
  <c r="K15" i="3"/>
  <c r="M15" i="3"/>
  <c r="N15" i="3"/>
  <c r="O15" i="3"/>
  <c r="Q15" i="3"/>
  <c r="R15" i="3"/>
  <c r="T15" i="3"/>
  <c r="U15" i="3"/>
  <c r="V15" i="3"/>
  <c r="Y15" i="3"/>
  <c r="B15" i="3"/>
  <c r="P15" i="3"/>
  <c r="W15" i="3"/>
  <c r="X15" i="3"/>
  <c r="S15" i="3"/>
  <c r="L15" i="3"/>
  <c r="AA14" i="3"/>
  <c r="B3" i="3"/>
  <c r="J11" i="3"/>
  <c r="K11" i="3"/>
  <c r="M11" i="3"/>
  <c r="N11" i="3"/>
  <c r="O11" i="3"/>
  <c r="Q11" i="3"/>
  <c r="R11" i="3"/>
  <c r="T11" i="3"/>
  <c r="U11" i="3"/>
  <c r="V11" i="3"/>
  <c r="Y11" i="3"/>
  <c r="B11" i="3"/>
  <c r="P11" i="3"/>
  <c r="F11" i="3"/>
  <c r="W11" i="3"/>
  <c r="X11" i="3"/>
  <c r="S11" i="3"/>
  <c r="L11" i="3"/>
  <c r="J10" i="3"/>
  <c r="K10" i="3"/>
  <c r="M10" i="3"/>
  <c r="N10" i="3"/>
  <c r="O10" i="3"/>
  <c r="Q10" i="3"/>
  <c r="R10" i="3"/>
  <c r="T10" i="3"/>
  <c r="U10" i="3"/>
  <c r="V10" i="3"/>
  <c r="Y10" i="3"/>
  <c r="B10" i="3"/>
  <c r="P10" i="3"/>
  <c r="W10" i="3"/>
  <c r="X10" i="3"/>
  <c r="S10" i="3"/>
  <c r="L10" i="3"/>
  <c r="J9" i="3"/>
  <c r="K9" i="3"/>
  <c r="M9" i="3"/>
  <c r="N9" i="3"/>
  <c r="O9" i="3"/>
  <c r="Q9" i="3"/>
  <c r="R9" i="3"/>
  <c r="T9" i="3"/>
  <c r="U9" i="3"/>
  <c r="V9" i="3"/>
  <c r="Y9" i="3"/>
  <c r="B9" i="3"/>
  <c r="P9" i="3"/>
  <c r="F9" i="3"/>
  <c r="W9" i="3"/>
  <c r="X9" i="3"/>
  <c r="S9" i="3"/>
  <c r="L9" i="3"/>
  <c r="J8" i="3"/>
  <c r="K8" i="3"/>
  <c r="M8" i="3"/>
  <c r="N8" i="3"/>
  <c r="O8" i="3"/>
  <c r="Q8" i="3"/>
  <c r="R8" i="3"/>
  <c r="T8" i="3"/>
  <c r="U8" i="3"/>
  <c r="V8" i="3"/>
  <c r="Y8" i="3"/>
  <c r="B8" i="3"/>
  <c r="P8" i="3"/>
  <c r="F8" i="3"/>
  <c r="W8" i="3"/>
  <c r="X8" i="3"/>
  <c r="S8" i="3"/>
  <c r="L8" i="3"/>
  <c r="J7" i="3"/>
  <c r="K7" i="3"/>
  <c r="M7" i="3"/>
  <c r="N7" i="3"/>
  <c r="O7" i="3"/>
  <c r="Q7" i="3"/>
  <c r="R7" i="3"/>
  <c r="T7" i="3"/>
  <c r="U7" i="3"/>
  <c r="V7" i="3"/>
  <c r="Y7" i="3"/>
  <c r="B7" i="3"/>
  <c r="P7" i="3"/>
  <c r="W7" i="3"/>
  <c r="X7" i="3"/>
  <c r="S7" i="3"/>
  <c r="L7" i="3"/>
  <c r="J6" i="3"/>
  <c r="K6" i="3"/>
  <c r="M6" i="3"/>
  <c r="N6" i="3"/>
  <c r="O6" i="3"/>
  <c r="Q6" i="3"/>
  <c r="R6" i="3"/>
  <c r="T6" i="3"/>
  <c r="U6" i="3"/>
  <c r="V6" i="3"/>
  <c r="Y6" i="3"/>
  <c r="B6" i="3"/>
  <c r="P6" i="3"/>
  <c r="F6" i="3"/>
  <c r="W6" i="3"/>
  <c r="X6" i="3"/>
  <c r="S6" i="3"/>
  <c r="L6" i="3"/>
  <c r="J5" i="3"/>
  <c r="K5" i="3"/>
  <c r="M5" i="3"/>
  <c r="N5" i="3"/>
  <c r="O5" i="3"/>
  <c r="Q5" i="3"/>
  <c r="R5" i="3"/>
  <c r="T5" i="3"/>
  <c r="U5" i="3"/>
  <c r="V5" i="3"/>
  <c r="Y5" i="3"/>
  <c r="B5" i="3"/>
  <c r="P5" i="3"/>
  <c r="W5" i="3"/>
  <c r="X5" i="3"/>
  <c r="S5" i="3"/>
  <c r="L5" i="3"/>
  <c r="J4" i="3"/>
  <c r="K4" i="3"/>
  <c r="M4" i="3"/>
  <c r="N4" i="3"/>
  <c r="O4" i="3"/>
  <c r="Q4" i="3"/>
  <c r="R4" i="3"/>
  <c r="T4" i="3"/>
  <c r="U4" i="3"/>
  <c r="V4" i="3"/>
  <c r="Y4" i="3"/>
  <c r="B4" i="3"/>
  <c r="P4" i="3"/>
  <c r="W4" i="3"/>
  <c r="X4" i="3"/>
  <c r="S4" i="3"/>
  <c r="L4" i="3"/>
  <c r="J3" i="3"/>
  <c r="K3" i="3"/>
  <c r="M3" i="3"/>
  <c r="N3" i="3"/>
  <c r="O3" i="3"/>
  <c r="Q3" i="3"/>
  <c r="R3" i="3"/>
  <c r="T3" i="3"/>
  <c r="U3" i="3"/>
  <c r="V3" i="3"/>
  <c r="Y3" i="3"/>
  <c r="P3" i="3"/>
  <c r="W3" i="3"/>
  <c r="X3" i="3"/>
  <c r="S3" i="3"/>
  <c r="L3" i="3"/>
  <c r="J51" i="3"/>
  <c r="K51" i="3"/>
  <c r="M51" i="3"/>
  <c r="N51" i="3"/>
  <c r="O51" i="3"/>
  <c r="Q51" i="3"/>
  <c r="R51" i="3"/>
  <c r="T51" i="3"/>
  <c r="U51" i="3"/>
  <c r="V51" i="3"/>
  <c r="Y51" i="3"/>
  <c r="P51" i="3"/>
  <c r="F51" i="3"/>
  <c r="W51" i="3"/>
  <c r="X51" i="3"/>
  <c r="S51" i="3"/>
  <c r="L51" i="3"/>
  <c r="J50" i="3"/>
  <c r="K50" i="3"/>
  <c r="M50" i="3"/>
  <c r="N50" i="3"/>
  <c r="O50" i="3"/>
  <c r="Q50" i="3"/>
  <c r="R50" i="3"/>
  <c r="T50" i="3"/>
  <c r="U50" i="3"/>
  <c r="V50" i="3"/>
  <c r="Y50" i="3"/>
  <c r="P50" i="3"/>
  <c r="W50" i="3"/>
  <c r="X50" i="3"/>
  <c r="S50" i="3"/>
  <c r="L50" i="3"/>
  <c r="J49" i="3"/>
  <c r="K49" i="3"/>
  <c r="M49" i="3"/>
  <c r="N49" i="3"/>
  <c r="O49" i="3"/>
  <c r="Q49" i="3"/>
  <c r="R49" i="3"/>
  <c r="T49" i="3"/>
  <c r="U49" i="3"/>
  <c r="V49" i="3"/>
  <c r="Y49" i="3"/>
  <c r="P49" i="3"/>
  <c r="W49" i="3"/>
  <c r="X49" i="3"/>
  <c r="S49" i="3"/>
  <c r="L49" i="3"/>
  <c r="J48" i="3"/>
  <c r="K48" i="3"/>
  <c r="M48" i="3"/>
  <c r="N48" i="3"/>
  <c r="O48" i="3"/>
  <c r="G48" i="3"/>
  <c r="Q48" i="3"/>
  <c r="R48" i="3"/>
  <c r="T48" i="3"/>
  <c r="U48" i="3"/>
  <c r="V48" i="3"/>
  <c r="Y48" i="3"/>
  <c r="P48" i="3"/>
  <c r="W48" i="3"/>
  <c r="X48" i="3"/>
  <c r="S48" i="3"/>
  <c r="L48" i="3"/>
  <c r="J47" i="3"/>
  <c r="K47" i="3"/>
  <c r="M47" i="3"/>
  <c r="N47" i="3"/>
  <c r="O47" i="3"/>
  <c r="Q47" i="3"/>
  <c r="R47" i="3"/>
  <c r="T47" i="3"/>
  <c r="U47" i="3"/>
  <c r="V47" i="3"/>
  <c r="Y47" i="3"/>
  <c r="P47" i="3"/>
  <c r="W47" i="3"/>
  <c r="X47" i="3"/>
  <c r="S47" i="3"/>
  <c r="L47" i="3"/>
  <c r="J46" i="3"/>
  <c r="K46" i="3"/>
  <c r="M46" i="3"/>
  <c r="N46" i="3"/>
  <c r="O46" i="3"/>
  <c r="Q46" i="3"/>
  <c r="R46" i="3"/>
  <c r="T46" i="3"/>
  <c r="U46" i="3"/>
  <c r="V46" i="3"/>
  <c r="Y46" i="3"/>
  <c r="P46" i="3"/>
  <c r="W46" i="3"/>
  <c r="X46" i="3"/>
  <c r="S46" i="3"/>
  <c r="L46" i="3"/>
  <c r="J45" i="3"/>
  <c r="K45" i="3"/>
  <c r="M45" i="3"/>
  <c r="N45" i="3"/>
  <c r="O45" i="3"/>
  <c r="Q45" i="3"/>
  <c r="R45" i="3"/>
  <c r="T45" i="3"/>
  <c r="U45" i="3"/>
  <c r="V45" i="3"/>
  <c r="Y45" i="3"/>
  <c r="P45" i="3"/>
  <c r="W45" i="3"/>
  <c r="X45" i="3"/>
  <c r="S45" i="3"/>
  <c r="L45" i="3"/>
  <c r="J44" i="3"/>
  <c r="K44" i="3"/>
  <c r="M44" i="3"/>
  <c r="N44" i="3"/>
  <c r="O44" i="3"/>
  <c r="Q44" i="3"/>
  <c r="R44" i="3"/>
  <c r="T44" i="3"/>
  <c r="U44" i="3"/>
  <c r="V44" i="3"/>
  <c r="Y44" i="3"/>
  <c r="P44" i="3"/>
  <c r="W44" i="3"/>
  <c r="X44" i="3"/>
  <c r="S44" i="3"/>
  <c r="L44" i="3"/>
  <c r="J43" i="3"/>
  <c r="K43" i="3"/>
  <c r="M43" i="3"/>
  <c r="N43" i="3"/>
  <c r="O43" i="3"/>
  <c r="Q43" i="3"/>
  <c r="R43" i="3"/>
  <c r="T43" i="3"/>
  <c r="U43" i="3"/>
  <c r="V43" i="3"/>
  <c r="Y43" i="3"/>
  <c r="P43" i="3"/>
  <c r="W43" i="3"/>
  <c r="X43" i="3"/>
  <c r="S43" i="3"/>
  <c r="L43" i="3"/>
  <c r="J42" i="3"/>
  <c r="K42" i="3"/>
  <c r="M42" i="3"/>
  <c r="N42" i="3"/>
  <c r="O42" i="3"/>
  <c r="Q42" i="3"/>
  <c r="R42" i="3"/>
  <c r="T42" i="3"/>
  <c r="U42" i="3"/>
  <c r="V42" i="3"/>
  <c r="Y42" i="3"/>
  <c r="P42" i="3"/>
  <c r="W42" i="3"/>
  <c r="X42" i="3"/>
  <c r="S42" i="3"/>
  <c r="L42" i="3"/>
  <c r="J41" i="3"/>
  <c r="K41" i="3"/>
  <c r="M41" i="3"/>
  <c r="N41" i="3"/>
  <c r="O41" i="3"/>
  <c r="Q41" i="3"/>
  <c r="R41" i="3"/>
  <c r="T41" i="3"/>
  <c r="U41" i="3"/>
  <c r="V41" i="3"/>
  <c r="Y41" i="3"/>
  <c r="P41" i="3"/>
  <c r="W41" i="3"/>
  <c r="X41" i="3"/>
  <c r="S41" i="3"/>
  <c r="L41" i="3"/>
  <c r="J40" i="3"/>
  <c r="K40" i="3"/>
  <c r="M40" i="3"/>
  <c r="N40" i="3"/>
  <c r="O40" i="3"/>
  <c r="Q40" i="3"/>
  <c r="R40" i="3"/>
  <c r="T40" i="3"/>
  <c r="U40" i="3"/>
  <c r="V40" i="3"/>
  <c r="Y40" i="3"/>
  <c r="P40" i="3"/>
  <c r="W40" i="3"/>
  <c r="X40" i="3"/>
  <c r="S40" i="3"/>
  <c r="L40" i="3"/>
  <c r="J39" i="3"/>
  <c r="K39" i="3"/>
  <c r="M39" i="3"/>
  <c r="N39" i="3"/>
  <c r="O39" i="3"/>
  <c r="Q39" i="3"/>
  <c r="R39" i="3"/>
  <c r="T39" i="3"/>
  <c r="U39" i="3"/>
  <c r="V39" i="3"/>
  <c r="Y39" i="3"/>
  <c r="P39" i="3"/>
  <c r="W39" i="3"/>
  <c r="X39" i="3"/>
  <c r="S39" i="3"/>
  <c r="L39" i="3"/>
  <c r="Y2" i="2"/>
  <c r="Q4" i="2"/>
  <c r="R4" i="2"/>
  <c r="S4" i="2"/>
  <c r="Q5" i="2"/>
  <c r="R5" i="2"/>
  <c r="Q6" i="2"/>
  <c r="R6" i="2"/>
  <c r="T6" i="2"/>
  <c r="U6" i="2"/>
  <c r="Q7" i="2"/>
  <c r="R7" i="2"/>
  <c r="Q3" i="2"/>
  <c r="J3" i="2"/>
  <c r="J4" i="2"/>
  <c r="K4" i="2"/>
  <c r="J5" i="2"/>
  <c r="K5" i="2"/>
  <c r="L5" i="2"/>
  <c r="J6" i="2"/>
  <c r="K6" i="2"/>
  <c r="M6" i="2"/>
  <c r="J7" i="2"/>
  <c r="K7" i="2"/>
  <c r="L7" i="2"/>
  <c r="K3" i="2"/>
  <c r="L3" i="2"/>
  <c r="M3" i="2"/>
  <c r="N3" i="2"/>
  <c r="O3" i="2"/>
  <c r="N6" i="2"/>
  <c r="O6" i="2"/>
  <c r="L6" i="2"/>
  <c r="S6" i="2"/>
  <c r="R3" i="2"/>
  <c r="T3" i="2"/>
  <c r="L4" i="2"/>
  <c r="S3" i="2"/>
  <c r="M7" i="2"/>
  <c r="N7" i="2"/>
  <c r="S5" i="2"/>
  <c r="T7" i="2"/>
  <c r="S7" i="2"/>
  <c r="T4" i="2"/>
  <c r="V6" i="2"/>
  <c r="T5" i="2"/>
  <c r="U5" i="2"/>
  <c r="M4" i="2"/>
  <c r="N4" i="2"/>
  <c r="M5" i="2"/>
  <c r="N5" i="2"/>
  <c r="U3" i="2"/>
  <c r="V3" i="2"/>
  <c r="V5" i="2"/>
  <c r="O7" i="2"/>
  <c r="U4" i="2"/>
  <c r="V4" i="2"/>
  <c r="V7" i="2"/>
  <c r="U7" i="2"/>
  <c r="O5" i="2"/>
  <c r="O4" i="2"/>
</calcChain>
</file>

<file path=xl/comments1.xml><?xml version="1.0" encoding="utf-8"?>
<comments xmlns="http://schemas.openxmlformats.org/spreadsheetml/2006/main">
  <authors>
    <author>Jeneva Cronin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Jeneva Cronin:</t>
        </r>
        <r>
          <rPr>
            <sz val="9"/>
            <color indexed="81"/>
            <rFont val="Tahoma"/>
            <family val="2"/>
          </rPr>
          <t xml:space="preserve">
TD - IPI (since subject will perceive beginning of the first pulse to end of the last pulse, but not the final 'IPI')</t>
        </r>
      </text>
    </comment>
  </commentList>
</comments>
</file>

<file path=xl/comments2.xml><?xml version="1.0" encoding="utf-8"?>
<comments xmlns="http://schemas.openxmlformats.org/spreadsheetml/2006/main">
  <authors>
    <author>Jeneva Cronin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Jeneva Cronin:</t>
        </r>
        <r>
          <rPr>
            <sz val="9"/>
            <color indexed="81"/>
            <rFont val="Tahoma"/>
            <family val="2"/>
          </rPr>
          <t xml:space="preserve">
TD - IPI (since subject will perceive beginning of the first pulse to end of the last pulse, but not the final 'IPI')</t>
        </r>
      </text>
    </comment>
  </commentList>
</comments>
</file>

<file path=xl/comments3.xml><?xml version="1.0" encoding="utf-8"?>
<comments xmlns="http://schemas.openxmlformats.org/spreadsheetml/2006/main">
  <authors>
    <author>Jeneva Cronin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Jeneva Cronin:</t>
        </r>
        <r>
          <rPr>
            <sz val="9"/>
            <color indexed="81"/>
            <rFont val="Tahoma"/>
            <family val="2"/>
          </rPr>
          <t xml:space="preserve">
TD - IPI (since subject will perceive beginning of the first pulse to end of the last pulse, but not the final 'IPI')</t>
        </r>
      </text>
    </comment>
  </commentList>
</comments>
</file>

<file path=xl/comments4.xml><?xml version="1.0" encoding="utf-8"?>
<comments xmlns="http://schemas.openxmlformats.org/spreadsheetml/2006/main">
  <authors>
    <author>Jeneva Cronin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Jeneva Cronin:</t>
        </r>
        <r>
          <rPr>
            <sz val="9"/>
            <color indexed="81"/>
            <rFont val="Tahoma"/>
            <family val="2"/>
          </rPr>
          <t xml:space="preserve">
TD - IPI (since subject will perceive beginning of the first pulse to end of the last pulse, but not the final 'IPI')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Jeneva Cronin:</t>
        </r>
        <r>
          <rPr>
            <sz val="9"/>
            <color indexed="81"/>
            <rFont val="Tahoma"/>
            <family val="2"/>
          </rPr>
          <t xml:space="preserve">
TD - IPI (since subject will perceive beginning of the first pulse to end of the last pulse, but not the final 'IPI')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Jeneva Cronin:</t>
        </r>
        <r>
          <rPr>
            <sz val="9"/>
            <color indexed="81"/>
            <rFont val="Tahoma"/>
            <family val="2"/>
          </rPr>
          <t xml:space="preserve">
TD - IPI (since subject will perceive beginning of the first pulse to end of the last pulse, but not the final 'IPI')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</rPr>
          <t>Jeneva Cronin:</t>
        </r>
        <r>
          <rPr>
            <sz val="9"/>
            <color indexed="81"/>
            <rFont val="Tahoma"/>
            <family val="2"/>
          </rPr>
          <t xml:space="preserve">
TD - IPI (since subject will perceive beginning of the first pulse to end of the last pulse, but not the final 'IPI')</t>
        </r>
      </text>
    </comment>
  </commentList>
</comments>
</file>

<file path=xl/sharedStrings.xml><?xml version="1.0" encoding="utf-8"?>
<sst xmlns="http://schemas.openxmlformats.org/spreadsheetml/2006/main" count="372" uniqueCount="54">
  <si>
    <t>Train A</t>
  </si>
  <si>
    <t>Train B</t>
  </si>
  <si>
    <t xml:space="preserve">TDT clock rate (Hz) = </t>
  </si>
  <si>
    <t>Amp (uA)</t>
  </si>
  <si>
    <t>PW (us)</t>
  </si>
  <si>
    <t>PF (Hz)</t>
  </si>
  <si>
    <t>TD (ms)</t>
  </si>
  <si>
    <t>IPI (us)</t>
  </si>
  <si>
    <t># pulses</t>
  </si>
  <si>
    <t>charge (A*us)</t>
  </si>
  <si>
    <t xml:space="preserve">TDT clock cycle (us) = </t>
  </si>
  <si>
    <t>Amp</t>
  </si>
  <si>
    <t>PW</t>
  </si>
  <si>
    <t>PF</t>
  </si>
  <si>
    <t>Amp (x*uA)</t>
  </si>
  <si>
    <t>Percent change</t>
  </si>
  <si>
    <t>TD perceived</t>
  </si>
  <si>
    <t>amp</t>
  </si>
  <si>
    <t>Amp+PW</t>
  </si>
  <si>
    <t>Diff of perceived TDs</t>
  </si>
  <si>
    <t>Amp+PF</t>
  </si>
  <si>
    <t>PW+Amp</t>
  </si>
  <si>
    <t>PW+Freq</t>
  </si>
  <si>
    <t>PF+Amp</t>
  </si>
  <si>
    <t>PF+PW</t>
  </si>
  <si>
    <t>Tests:</t>
  </si>
  <si>
    <t>Note: the potential problem with this second group is it doesn't test PF. To test PF at 3 different % changes and to see the effect of each of the 3 parameters on each other, we'd need ~27 conditions</t>
  </si>
  <si>
    <t>If we wanted to test PF as well</t>
  </si>
  <si>
    <t xml:space="preserve"> +PW</t>
  </si>
  <si>
    <t xml:space="preserve"> +PF</t>
  </si>
  <si>
    <t xml:space="preserve"> +amp</t>
  </si>
  <si>
    <t xml:space="preserve">Baseline amplitude = </t>
  </si>
  <si>
    <t>(suprathreshold)</t>
  </si>
  <si>
    <t>~10% change</t>
  </si>
  <si>
    <t>~40% change</t>
  </si>
  <si>
    <t>Available PW</t>
  </si>
  <si>
    <t>Change:</t>
  </si>
  <si>
    <t>~25% change</t>
  </si>
  <si>
    <t>A</t>
  </si>
  <si>
    <t>B</t>
  </si>
  <si>
    <t>% change</t>
  </si>
  <si>
    <t>Percent change, other direction</t>
  </si>
  <si>
    <t>Percent change in each variable (B-A)/A and vice versa</t>
  </si>
  <si>
    <t>(A-B)/B</t>
  </si>
  <si>
    <t>rough estimate for PF</t>
  </si>
  <si>
    <t>Amp + PF</t>
  </si>
  <si>
    <t>PW + PF</t>
  </si>
  <si>
    <t>JND Add value (amp)</t>
  </si>
  <si>
    <t>Add value (PW)</t>
  </si>
  <si>
    <t>Second baseline</t>
  </si>
  <si>
    <t>% change (charge per pulse)</t>
  </si>
  <si>
    <t>Percent change (total charge)</t>
  </si>
  <si>
    <t>Add value (PD)</t>
  </si>
  <si>
    <t>Add value 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</si>
</sst>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11" xfId="0" applyBorder="1"/>
    <xf numFmtId="0" fontId="0" fillId="0" borderId="10" xfId="0" applyBorder="1"/>
    <xf numFmtId="2" fontId="0" fillId="0" borderId="11" xfId="0" applyNumberFormat="1" applyBorder="1"/>
    <xf numFmtId="0" fontId="0" fillId="0" borderId="0" xfId="0" applyFill="1"/>
    <xf numFmtId="0" fontId="0" fillId="37" borderId="0" xfId="0" applyFill="1"/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9" fontId="0" fillId="0" borderId="0" xfId="42" applyFont="1" applyBorder="1"/>
    <xf numFmtId="0" fontId="0" fillId="0" borderId="0" xfId="0" applyFill="1" applyBorder="1"/>
    <xf numFmtId="0" fontId="16" fillId="0" borderId="0" xfId="0" applyFont="1" applyFill="1" applyBorder="1"/>
    <xf numFmtId="0" fontId="0" fillId="0" borderId="0" xfId="0" applyFont="1" applyFill="1" applyBorder="1"/>
    <xf numFmtId="0" fontId="0" fillId="0" borderId="11" xfId="0" applyFont="1" applyBorder="1"/>
    <xf numFmtId="0" fontId="0" fillId="0" borderId="0" xfId="42" applyNumberFormat="1" applyFont="1" applyBorder="1"/>
    <xf numFmtId="0" fontId="0" fillId="33" borderId="10" xfId="0" applyFill="1" applyBorder="1"/>
    <xf numFmtId="0" fontId="0" fillId="33" borderId="11" xfId="0" applyFill="1" applyBorder="1"/>
    <xf numFmtId="0" fontId="0" fillId="33" borderId="0" xfId="0" applyFont="1" applyFill="1" applyBorder="1"/>
    <xf numFmtId="0" fontId="16" fillId="33" borderId="0" xfId="0" applyFont="1" applyFill="1" applyBorder="1"/>
    <xf numFmtId="0" fontId="0" fillId="33" borderId="11" xfId="0" applyFont="1" applyFill="1" applyBorder="1"/>
    <xf numFmtId="2" fontId="0" fillId="33" borderId="0" xfId="0" applyNumberFormat="1" applyFill="1"/>
    <xf numFmtId="2" fontId="0" fillId="33" borderId="11" xfId="0" applyNumberFormat="1" applyFill="1" applyBorder="1"/>
    <xf numFmtId="9" fontId="0" fillId="33" borderId="0" xfId="42" applyFont="1" applyFill="1" applyBorder="1"/>
    <xf numFmtId="0" fontId="0" fillId="33" borderId="0" xfId="42" applyNumberFormat="1" applyFont="1" applyFill="1" applyBorder="1"/>
    <xf numFmtId="0" fontId="16" fillId="0" borderId="0" xfId="0" applyFont="1"/>
    <xf numFmtId="0" fontId="0" fillId="0" borderId="0" xfId="0" applyAlignment="1">
      <alignment horizontal="right"/>
    </xf>
    <xf numFmtId="10" fontId="0" fillId="0" borderId="0" xfId="42" applyNumberFormat="1" applyFont="1" applyBorder="1"/>
    <xf numFmtId="0" fontId="0" fillId="34" borderId="0" xfId="0" applyFill="1" applyAlignment="1">
      <alignment horizontal="right"/>
    </xf>
    <xf numFmtId="0" fontId="21" fillId="0" borderId="0" xfId="0" applyFont="1"/>
    <xf numFmtId="0" fontId="16" fillId="0" borderId="10" xfId="0" applyFont="1" applyBorder="1"/>
    <xf numFmtId="9" fontId="0" fillId="0" borderId="0" xfId="42" applyFont="1"/>
    <xf numFmtId="0" fontId="0" fillId="0" borderId="0" xfId="0" applyBorder="1"/>
    <xf numFmtId="0" fontId="0" fillId="0" borderId="0" xfId="0" applyFont="1" applyBorder="1"/>
    <xf numFmtId="2" fontId="0" fillId="0" borderId="0" xfId="0" applyNumberFormat="1" applyBorder="1"/>
    <xf numFmtId="0" fontId="16" fillId="0" borderId="0" xfId="0" applyFont="1" applyBorder="1"/>
    <xf numFmtId="0" fontId="13" fillId="38" borderId="0" xfId="0" applyFont="1" applyFill="1" applyBorder="1" applyAlignment="1">
      <alignment horizontal="center" wrapText="1"/>
    </xf>
    <xf numFmtId="0" fontId="0" fillId="0" borderId="11" xfId="42" applyNumberFormat="1" applyFont="1" applyBorder="1"/>
    <xf numFmtId="0" fontId="18" fillId="37" borderId="0" xfId="0" applyFont="1" applyFill="1"/>
    <xf numFmtId="0" fontId="18" fillId="0" borderId="0" xfId="0" applyFont="1"/>
    <xf numFmtId="0" fontId="18" fillId="34" borderId="0" xfId="0" applyFont="1" applyFill="1"/>
    <xf numFmtId="0" fontId="18" fillId="34" borderId="0" xfId="0" applyFont="1" applyFill="1" applyAlignment="1">
      <alignment horizontal="right"/>
    </xf>
    <xf numFmtId="0" fontId="22" fillId="0" borderId="0" xfId="0" applyFont="1"/>
    <xf numFmtId="0" fontId="13" fillId="38" borderId="10" xfId="0" applyFont="1" applyFill="1" applyBorder="1" applyAlignment="1">
      <alignment horizontal="center" wrapText="1"/>
    </xf>
    <xf numFmtId="0" fontId="13" fillId="38" borderId="0" xfId="0" applyFont="1" applyFill="1" applyBorder="1" applyAlignment="1">
      <alignment horizontal="center" wrapText="1"/>
    </xf>
    <xf numFmtId="0" fontId="13" fillId="38" borderId="12" xfId="0" applyFont="1" applyFill="1" applyBorder="1" applyAlignment="1">
      <alignment horizontal="center" wrapText="1"/>
    </xf>
    <xf numFmtId="0" fontId="16" fillId="35" borderId="10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3"/>
  <sheetViews>
    <sheetView zoomScale="85" zoomScaleNormal="85" workbookViewId="0">
      <selection activeCell="AA8" sqref="AA8"/>
    </sheetView>
  </sheetViews>
  <sheetFormatPr defaultRowHeight="15" x14ac:dyDescent="0.25"/>
  <cols>
    <col min="2" max="9" width="11.5703125" customWidth="1"/>
    <col min="10" max="14" width="8.7109375" customWidth="1"/>
    <col min="15" max="15" width="12.5703125" bestFit="1" customWidth="1"/>
    <col min="16" max="16" width="13.140625" customWidth="1"/>
    <col min="17" max="21" width="8.7109375" customWidth="1"/>
    <col min="22" max="22" width="12.5703125" bestFit="1" customWidth="1"/>
    <col min="23" max="30" width="13.140625" customWidth="1"/>
    <col min="31" max="31" width="20" style="44" bestFit="1" customWidth="1"/>
  </cols>
  <sheetData>
    <row r="1" spans="1:32" ht="15" customHeight="1" x14ac:dyDescent="0.25">
      <c r="A1" s="48" t="s">
        <v>25</v>
      </c>
      <c r="B1" s="51" t="s">
        <v>0</v>
      </c>
      <c r="C1" s="52"/>
      <c r="D1" s="52"/>
      <c r="E1" s="52"/>
      <c r="F1" s="53" t="s">
        <v>1</v>
      </c>
      <c r="G1" s="54"/>
      <c r="H1" s="54"/>
      <c r="I1" s="55"/>
      <c r="J1" s="52" t="s">
        <v>0</v>
      </c>
      <c r="K1" s="52"/>
      <c r="L1" s="52"/>
      <c r="M1" s="52"/>
      <c r="N1" s="52"/>
      <c r="O1" s="52"/>
      <c r="P1" s="56"/>
      <c r="Q1" s="54" t="s">
        <v>1</v>
      </c>
      <c r="R1" s="54"/>
      <c r="S1" s="54"/>
      <c r="T1" s="54"/>
      <c r="U1" s="54"/>
      <c r="V1" s="54"/>
      <c r="W1" s="55"/>
      <c r="X1" s="48" t="s">
        <v>51</v>
      </c>
      <c r="Y1" s="48" t="s">
        <v>41</v>
      </c>
      <c r="Z1" s="50" t="s">
        <v>19</v>
      </c>
      <c r="AA1" s="48" t="s">
        <v>50</v>
      </c>
      <c r="AB1" s="48" t="s">
        <v>42</v>
      </c>
      <c r="AC1" s="49"/>
      <c r="AD1" s="49"/>
      <c r="AE1" s="43" t="s">
        <v>2</v>
      </c>
      <c r="AF1" s="8">
        <v>24414.0625</v>
      </c>
    </row>
    <row r="2" spans="1:32" ht="30.75" customHeight="1" x14ac:dyDescent="0.25">
      <c r="A2" s="48"/>
      <c r="B2" s="9" t="s">
        <v>14</v>
      </c>
      <c r="C2" s="13" t="s">
        <v>4</v>
      </c>
      <c r="D2" s="13" t="s">
        <v>5</v>
      </c>
      <c r="E2" s="13" t="s">
        <v>6</v>
      </c>
      <c r="F2" s="10" t="s">
        <v>14</v>
      </c>
      <c r="G2" s="14" t="s">
        <v>4</v>
      </c>
      <c r="H2" s="14" t="s">
        <v>5</v>
      </c>
      <c r="I2" s="11" t="s">
        <v>6</v>
      </c>
      <c r="J2" s="13" t="s">
        <v>4</v>
      </c>
      <c r="K2" s="13" t="s">
        <v>7</v>
      </c>
      <c r="L2" s="13" t="s">
        <v>5</v>
      </c>
      <c r="M2" s="13" t="s">
        <v>8</v>
      </c>
      <c r="N2" s="13" t="s">
        <v>6</v>
      </c>
      <c r="O2" s="13" t="s">
        <v>16</v>
      </c>
      <c r="P2" s="12" t="s">
        <v>9</v>
      </c>
      <c r="Q2" s="14" t="s">
        <v>4</v>
      </c>
      <c r="R2" s="14" t="s">
        <v>7</v>
      </c>
      <c r="S2" s="14" t="s">
        <v>5</v>
      </c>
      <c r="T2" s="14" t="s">
        <v>8</v>
      </c>
      <c r="U2" s="14" t="s">
        <v>6</v>
      </c>
      <c r="V2" s="14" t="s">
        <v>16</v>
      </c>
      <c r="W2" s="11" t="s">
        <v>9</v>
      </c>
      <c r="X2" s="48"/>
      <c r="Y2" s="48"/>
      <c r="Z2" s="50"/>
      <c r="AA2" s="48"/>
      <c r="AB2" s="41" t="s">
        <v>11</v>
      </c>
      <c r="AC2" s="41" t="s">
        <v>12</v>
      </c>
      <c r="AD2" s="41" t="s">
        <v>13</v>
      </c>
      <c r="AE2" s="43" t="s">
        <v>10</v>
      </c>
      <c r="AF2" s="8">
        <f>1/AF1*1000000</f>
        <v>40.96</v>
      </c>
    </row>
    <row r="3" spans="1:32" x14ac:dyDescent="0.25">
      <c r="A3" s="30" t="s">
        <v>11</v>
      </c>
      <c r="B3" s="5">
        <f t="shared" ref="B3:B11" si="0">1*$AF$4</f>
        <v>750</v>
      </c>
      <c r="C3">
        <v>200</v>
      </c>
      <c r="D3">
        <v>200</v>
      </c>
      <c r="E3" s="4">
        <v>200</v>
      </c>
      <c r="F3" s="35">
        <f>1.25*$AF$4</f>
        <v>937.5</v>
      </c>
      <c r="G3">
        <v>200</v>
      </c>
      <c r="H3">
        <v>200</v>
      </c>
      <c r="I3" s="4">
        <v>200</v>
      </c>
      <c r="J3" s="1">
        <f t="shared" ref="J3:J11" si="1">ROUND(C3/$AF$2,0)*$AF$2</f>
        <v>204.8</v>
      </c>
      <c r="K3" s="1">
        <f t="shared" ref="K3:K11" si="2">ROUND((1/D3*1000000-2*J3)/$AF$2,0)*$AF$2</f>
        <v>4587.5200000000004</v>
      </c>
      <c r="L3" s="1">
        <f t="shared" ref="L3:L8" si="3">1/((J3*2+K3)*0.000001)</f>
        <v>200.1152663934426</v>
      </c>
      <c r="M3">
        <f t="shared" ref="M3:M8" si="4">FLOOR(E3/((J3*2+K3)*0.001),1)</f>
        <v>40</v>
      </c>
      <c r="N3">
        <f t="shared" ref="N3:N8" si="5">M3*(2*J3+K3)*0.001</f>
        <v>199.88480000000004</v>
      </c>
      <c r="O3" s="1">
        <f>N3-K3/1000</f>
        <v>195.29728000000003</v>
      </c>
      <c r="P3" s="6">
        <f t="shared" ref="P3:P8" si="6">J3*M3*B3</f>
        <v>6144000</v>
      </c>
      <c r="Q3" s="1">
        <f t="shared" ref="Q3:Q11" si="7">ROUND(G3/$AF$2,0)*$AF$2</f>
        <v>204.8</v>
      </c>
      <c r="R3" s="1">
        <f t="shared" ref="R3:R11" si="8">ROUND((1/H3*1000000-2*Q3)/$AF$2,0)*$AF$2</f>
        <v>4587.5200000000004</v>
      </c>
      <c r="S3" s="1">
        <f t="shared" ref="S3:S8" si="9">1/((Q3*2+R3)*0.000001)</f>
        <v>200.1152663934426</v>
      </c>
      <c r="T3">
        <f t="shared" ref="T3:T11" si="10">FLOOR(I3/((Q3*2+R3)*0.001),1)</f>
        <v>40</v>
      </c>
      <c r="U3" s="1">
        <f t="shared" ref="U3:U8" si="11">T3*(2*Q3+R3)*0.001</f>
        <v>199.88480000000004</v>
      </c>
      <c r="V3" s="1">
        <f>U3-R3/1000</f>
        <v>195.29728000000003</v>
      </c>
      <c r="W3" s="6">
        <f t="shared" ref="W3:W11" si="12">Q3*T3*F3</f>
        <v>7680000</v>
      </c>
      <c r="X3" s="32">
        <f>ABS(P3-W3)/P3</f>
        <v>0.25</v>
      </c>
      <c r="Y3" s="32">
        <f>ABS(P3-W3)/W3</f>
        <v>0.2</v>
      </c>
      <c r="Z3" s="42">
        <f t="shared" ref="Z3:Z11" si="13">ABS(O3-V3)</f>
        <v>0</v>
      </c>
      <c r="AA3" s="15">
        <f>ABS(J3*B3-Q3*F3)/(J3*B3)</f>
        <v>0.25</v>
      </c>
      <c r="AB3" s="15">
        <f>(F3-B3)/B3</f>
        <v>0.25</v>
      </c>
      <c r="AC3" s="15">
        <f>(Q3-J3)/J3</f>
        <v>0</v>
      </c>
      <c r="AD3" s="15">
        <f>(S3-L3)/L3</f>
        <v>0</v>
      </c>
    </row>
    <row r="4" spans="1:32" x14ac:dyDescent="0.25">
      <c r="A4" s="31" t="s">
        <v>28</v>
      </c>
      <c r="B4" s="5">
        <f t="shared" si="0"/>
        <v>750</v>
      </c>
      <c r="C4">
        <v>200</v>
      </c>
      <c r="D4">
        <v>200</v>
      </c>
      <c r="E4" s="4">
        <v>200</v>
      </c>
      <c r="F4" s="35">
        <f>1.25*$AF$4</f>
        <v>937.5</v>
      </c>
      <c r="G4" s="17">
        <f>C4*1/(F4/B4)</f>
        <v>160</v>
      </c>
      <c r="H4" s="16">
        <v>200</v>
      </c>
      <c r="I4" s="4">
        <v>200</v>
      </c>
      <c r="J4" s="1">
        <f t="shared" si="1"/>
        <v>204.8</v>
      </c>
      <c r="K4" s="1">
        <f t="shared" si="2"/>
        <v>4587.5200000000004</v>
      </c>
      <c r="L4" s="1">
        <f t="shared" si="3"/>
        <v>200.1152663934426</v>
      </c>
      <c r="M4">
        <f t="shared" si="4"/>
        <v>40</v>
      </c>
      <c r="N4">
        <f t="shared" si="5"/>
        <v>199.88480000000004</v>
      </c>
      <c r="O4" s="1">
        <f t="shared" ref="O4:O11" si="14">N4-K4/1000</f>
        <v>195.29728000000003</v>
      </c>
      <c r="P4" s="6">
        <f t="shared" si="6"/>
        <v>6144000</v>
      </c>
      <c r="Q4" s="1">
        <f t="shared" si="7"/>
        <v>163.84</v>
      </c>
      <c r="R4" s="1">
        <f t="shared" si="8"/>
        <v>4669.4400000000005</v>
      </c>
      <c r="S4" s="1">
        <f t="shared" si="9"/>
        <v>200.1152663934426</v>
      </c>
      <c r="T4">
        <f t="shared" si="10"/>
        <v>40</v>
      </c>
      <c r="U4" s="1">
        <f t="shared" si="11"/>
        <v>199.88480000000004</v>
      </c>
      <c r="V4" s="1">
        <f t="shared" ref="V4:V11" si="15">U4-R4/1000</f>
        <v>195.21536000000003</v>
      </c>
      <c r="W4" s="6">
        <f t="shared" si="12"/>
        <v>6144000</v>
      </c>
      <c r="X4" s="32">
        <f t="shared" ref="X4:X11" si="16">ABS(P4-W4)/P4</f>
        <v>0</v>
      </c>
      <c r="Y4" s="32">
        <f t="shared" ref="Y4:Y11" si="17">ABS(P4-W4)/W4</f>
        <v>0</v>
      </c>
      <c r="Z4" s="42">
        <f t="shared" si="13"/>
        <v>8.1919999999996662E-2</v>
      </c>
      <c r="AA4" s="15">
        <f t="shared" ref="AA4:AA11" si="18">ABS(J4*B4-Q4*F4)/(J4*B4)</f>
        <v>0</v>
      </c>
      <c r="AB4" s="15">
        <f>(F4-B4)/B4</f>
        <v>0.25</v>
      </c>
      <c r="AC4" s="15">
        <f>(Q4-J4)/J4</f>
        <v>-0.20000000000000004</v>
      </c>
      <c r="AD4" s="15">
        <f t="shared" ref="AD4:AD11" si="19">(S4-L4)/L4</f>
        <v>0</v>
      </c>
      <c r="AE4" s="45" t="s">
        <v>31</v>
      </c>
      <c r="AF4" s="3">
        <v>750</v>
      </c>
    </row>
    <row r="5" spans="1:32" x14ac:dyDescent="0.25">
      <c r="A5" s="31" t="s">
        <v>29</v>
      </c>
      <c r="B5" s="5">
        <f t="shared" si="0"/>
        <v>750</v>
      </c>
      <c r="C5">
        <v>200</v>
      </c>
      <c r="D5">
        <v>200</v>
      </c>
      <c r="E5" s="4">
        <v>200</v>
      </c>
      <c r="F5" s="35">
        <f>1.25*$AF$4</f>
        <v>937.5</v>
      </c>
      <c r="G5" s="16">
        <v>200</v>
      </c>
      <c r="H5" s="17">
        <v>161</v>
      </c>
      <c r="I5" s="4">
        <v>200</v>
      </c>
      <c r="J5" s="1">
        <f t="shared" si="1"/>
        <v>204.8</v>
      </c>
      <c r="K5" s="1">
        <f t="shared" si="2"/>
        <v>4587.5200000000004</v>
      </c>
      <c r="L5" s="1">
        <f t="shared" si="3"/>
        <v>200.1152663934426</v>
      </c>
      <c r="M5">
        <f t="shared" si="4"/>
        <v>40</v>
      </c>
      <c r="N5">
        <f t="shared" si="5"/>
        <v>199.88480000000004</v>
      </c>
      <c r="O5" s="1">
        <f t="shared" si="14"/>
        <v>195.29728000000003</v>
      </c>
      <c r="P5" s="6">
        <f t="shared" si="6"/>
        <v>6144000</v>
      </c>
      <c r="Q5" s="1">
        <f t="shared" si="7"/>
        <v>204.8</v>
      </c>
      <c r="R5" s="1">
        <f t="shared" si="8"/>
        <v>5816.32</v>
      </c>
      <c r="S5" s="1">
        <f t="shared" si="9"/>
        <v>160.61883223684211</v>
      </c>
      <c r="T5">
        <f t="shared" si="10"/>
        <v>32</v>
      </c>
      <c r="U5" s="1">
        <f t="shared" si="11"/>
        <v>199.22944000000001</v>
      </c>
      <c r="V5" s="1">
        <f t="shared" si="15"/>
        <v>193.41312000000002</v>
      </c>
      <c r="W5" s="6">
        <f t="shared" si="12"/>
        <v>6144000</v>
      </c>
      <c r="X5" s="32">
        <f t="shared" si="16"/>
        <v>0</v>
      </c>
      <c r="Y5" s="32">
        <f t="shared" si="17"/>
        <v>0</v>
      </c>
      <c r="Z5" s="42">
        <f t="shared" si="13"/>
        <v>1.8841600000000085</v>
      </c>
      <c r="AA5" s="15">
        <f t="shared" si="18"/>
        <v>0.25</v>
      </c>
      <c r="AB5" s="15">
        <f t="shared" ref="AB5:AB11" si="20">(F5-B5)/B5</f>
        <v>0.25</v>
      </c>
      <c r="AC5" s="15">
        <f t="shared" ref="AC5:AC11" si="21">(Q5-J5)/J5</f>
        <v>0</v>
      </c>
      <c r="AD5" s="15">
        <f t="shared" si="19"/>
        <v>-0.19736842105263144</v>
      </c>
      <c r="AE5" s="46" t="s">
        <v>32</v>
      </c>
      <c r="AF5" s="3"/>
    </row>
    <row r="6" spans="1:32" x14ac:dyDescent="0.25">
      <c r="A6" s="30" t="s">
        <v>12</v>
      </c>
      <c r="B6" s="5">
        <f t="shared" si="0"/>
        <v>750</v>
      </c>
      <c r="C6">
        <v>200</v>
      </c>
      <c r="D6">
        <v>200</v>
      </c>
      <c r="E6" s="4">
        <v>200</v>
      </c>
      <c r="F6" s="5">
        <f>1*$AF$4</f>
        <v>750</v>
      </c>
      <c r="G6" s="17">
        <v>240</v>
      </c>
      <c r="H6" s="16">
        <v>200</v>
      </c>
      <c r="I6" s="4">
        <v>200</v>
      </c>
      <c r="J6" s="1">
        <f t="shared" si="1"/>
        <v>204.8</v>
      </c>
      <c r="K6" s="1">
        <f t="shared" si="2"/>
        <v>4587.5200000000004</v>
      </c>
      <c r="L6" s="1">
        <f t="shared" si="3"/>
        <v>200.1152663934426</v>
      </c>
      <c r="M6">
        <f t="shared" si="4"/>
        <v>40</v>
      </c>
      <c r="N6">
        <f t="shared" si="5"/>
        <v>199.88480000000004</v>
      </c>
      <c r="O6" s="1">
        <f t="shared" si="14"/>
        <v>195.29728000000003</v>
      </c>
      <c r="P6" s="6">
        <f t="shared" si="6"/>
        <v>6144000</v>
      </c>
      <c r="Q6" s="1">
        <f t="shared" si="7"/>
        <v>245.76</v>
      </c>
      <c r="R6" s="1">
        <f t="shared" si="8"/>
        <v>4505.6000000000004</v>
      </c>
      <c r="S6" s="1">
        <f t="shared" si="9"/>
        <v>200.1152663934426</v>
      </c>
      <c r="T6">
        <f t="shared" si="10"/>
        <v>40</v>
      </c>
      <c r="U6" s="1">
        <f t="shared" si="11"/>
        <v>199.88480000000004</v>
      </c>
      <c r="V6" s="1">
        <f t="shared" si="15"/>
        <v>195.37920000000005</v>
      </c>
      <c r="W6" s="6">
        <f t="shared" si="12"/>
        <v>7372800</v>
      </c>
      <c r="X6" s="32">
        <f t="shared" si="16"/>
        <v>0.2</v>
      </c>
      <c r="Y6" s="32">
        <f t="shared" si="17"/>
        <v>0.16666666666666666</v>
      </c>
      <c r="Z6" s="42">
        <f t="shared" si="13"/>
        <v>8.1920000000025084E-2</v>
      </c>
      <c r="AA6" s="15">
        <f t="shared" si="18"/>
        <v>0.2</v>
      </c>
      <c r="AB6" s="15">
        <f t="shared" si="20"/>
        <v>0</v>
      </c>
      <c r="AC6" s="15">
        <f t="shared" si="21"/>
        <v>0.1999999999999999</v>
      </c>
      <c r="AD6" s="15">
        <f t="shared" si="19"/>
        <v>0</v>
      </c>
    </row>
    <row r="7" spans="1:32" x14ac:dyDescent="0.25">
      <c r="A7" s="31" t="s">
        <v>30</v>
      </c>
      <c r="B7" s="5">
        <f t="shared" si="0"/>
        <v>750</v>
      </c>
      <c r="C7">
        <v>200</v>
      </c>
      <c r="D7">
        <v>200</v>
      </c>
      <c r="E7" s="4">
        <v>200</v>
      </c>
      <c r="F7" s="35">
        <f>1/(G7/C7)*$AF$4</f>
        <v>625</v>
      </c>
      <c r="G7" s="17">
        <v>240</v>
      </c>
      <c r="H7" s="16">
        <v>200</v>
      </c>
      <c r="I7" s="4">
        <v>200</v>
      </c>
      <c r="J7" s="1">
        <f t="shared" si="1"/>
        <v>204.8</v>
      </c>
      <c r="K7" s="1">
        <f t="shared" si="2"/>
        <v>4587.5200000000004</v>
      </c>
      <c r="L7" s="1">
        <f t="shared" si="3"/>
        <v>200.1152663934426</v>
      </c>
      <c r="M7">
        <f t="shared" si="4"/>
        <v>40</v>
      </c>
      <c r="N7">
        <f t="shared" si="5"/>
        <v>199.88480000000004</v>
      </c>
      <c r="O7" s="1">
        <f t="shared" si="14"/>
        <v>195.29728000000003</v>
      </c>
      <c r="P7" s="6">
        <f t="shared" si="6"/>
        <v>6144000</v>
      </c>
      <c r="Q7" s="1">
        <f t="shared" si="7"/>
        <v>245.76</v>
      </c>
      <c r="R7" s="1">
        <f t="shared" si="8"/>
        <v>4505.6000000000004</v>
      </c>
      <c r="S7" s="1">
        <f t="shared" si="9"/>
        <v>200.1152663934426</v>
      </c>
      <c r="T7">
        <f t="shared" si="10"/>
        <v>40</v>
      </c>
      <c r="U7" s="1">
        <f t="shared" si="11"/>
        <v>199.88480000000004</v>
      </c>
      <c r="V7" s="1">
        <f t="shared" si="15"/>
        <v>195.37920000000005</v>
      </c>
      <c r="W7" s="6">
        <f t="shared" si="12"/>
        <v>6144000</v>
      </c>
      <c r="X7" s="32">
        <f t="shared" si="16"/>
        <v>0</v>
      </c>
      <c r="Y7" s="32">
        <f t="shared" si="17"/>
        <v>0</v>
      </c>
      <c r="Z7" s="42">
        <f t="shared" si="13"/>
        <v>8.1920000000025084E-2</v>
      </c>
      <c r="AA7" s="15">
        <f t="shared" si="18"/>
        <v>0</v>
      </c>
      <c r="AB7" s="15">
        <f t="shared" si="20"/>
        <v>-0.16666666666666666</v>
      </c>
      <c r="AC7" s="15">
        <f t="shared" si="21"/>
        <v>0.1999999999999999</v>
      </c>
      <c r="AD7" s="15">
        <f t="shared" si="19"/>
        <v>0</v>
      </c>
    </row>
    <row r="8" spans="1:32" x14ac:dyDescent="0.25">
      <c r="A8" s="31" t="s">
        <v>29</v>
      </c>
      <c r="B8" s="5">
        <f t="shared" si="0"/>
        <v>750</v>
      </c>
      <c r="C8">
        <v>200</v>
      </c>
      <c r="D8">
        <v>200</v>
      </c>
      <c r="E8" s="4">
        <v>200</v>
      </c>
      <c r="F8" s="5">
        <f>1*$AF$4</f>
        <v>750</v>
      </c>
      <c r="G8" s="17">
        <v>240</v>
      </c>
      <c r="H8" s="17">
        <v>166</v>
      </c>
      <c r="I8" s="4">
        <v>200</v>
      </c>
      <c r="J8" s="1">
        <f t="shared" si="1"/>
        <v>204.8</v>
      </c>
      <c r="K8" s="1">
        <f t="shared" si="2"/>
        <v>4587.5200000000004</v>
      </c>
      <c r="L8" s="1">
        <f t="shared" si="3"/>
        <v>200.1152663934426</v>
      </c>
      <c r="M8">
        <f t="shared" si="4"/>
        <v>40</v>
      </c>
      <c r="N8">
        <f t="shared" si="5"/>
        <v>199.88480000000004</v>
      </c>
      <c r="O8" s="1">
        <f t="shared" si="14"/>
        <v>195.29728000000003</v>
      </c>
      <c r="P8" s="6">
        <f t="shared" si="6"/>
        <v>6144000</v>
      </c>
      <c r="Q8" s="1">
        <f t="shared" si="7"/>
        <v>245.76</v>
      </c>
      <c r="R8" s="1">
        <f t="shared" si="8"/>
        <v>5529.6</v>
      </c>
      <c r="S8" s="1">
        <f t="shared" si="9"/>
        <v>166.08205782312925</v>
      </c>
      <c r="T8">
        <f t="shared" si="10"/>
        <v>33</v>
      </c>
      <c r="U8" s="1">
        <f t="shared" si="11"/>
        <v>198.69696000000002</v>
      </c>
      <c r="V8" s="1">
        <f t="shared" si="15"/>
        <v>193.16736000000003</v>
      </c>
      <c r="W8" s="6">
        <f t="shared" si="12"/>
        <v>6082560</v>
      </c>
      <c r="X8" s="32">
        <f t="shared" si="16"/>
        <v>0.01</v>
      </c>
      <c r="Y8" s="32">
        <f t="shared" si="17"/>
        <v>1.0101010101010102E-2</v>
      </c>
      <c r="Z8" s="42">
        <f t="shared" si="13"/>
        <v>2.1299199999999985</v>
      </c>
      <c r="AA8" s="15">
        <f t="shared" si="18"/>
        <v>0.2</v>
      </c>
      <c r="AB8" s="15">
        <f t="shared" si="20"/>
        <v>0</v>
      </c>
      <c r="AC8" s="15">
        <f t="shared" si="21"/>
        <v>0.1999999999999999</v>
      </c>
      <c r="AD8" s="15">
        <f t="shared" si="19"/>
        <v>-0.17006802721088426</v>
      </c>
    </row>
    <row r="9" spans="1:32" x14ac:dyDescent="0.25">
      <c r="A9" s="30" t="s">
        <v>13</v>
      </c>
      <c r="B9" s="5">
        <f t="shared" si="0"/>
        <v>750</v>
      </c>
      <c r="C9">
        <v>200</v>
      </c>
      <c r="D9">
        <v>200</v>
      </c>
      <c r="E9" s="4">
        <v>200</v>
      </c>
      <c r="F9" s="5">
        <f>1*$AF$4</f>
        <v>750</v>
      </c>
      <c r="G9" s="18">
        <v>200</v>
      </c>
      <c r="H9" s="17">
        <f>D9*1.25</f>
        <v>250</v>
      </c>
      <c r="I9" s="19">
        <v>201</v>
      </c>
      <c r="J9" s="1">
        <f t="shared" si="1"/>
        <v>204.8</v>
      </c>
      <c r="K9" s="1">
        <f t="shared" si="2"/>
        <v>4587.5200000000004</v>
      </c>
      <c r="L9" s="1">
        <f t="shared" ref="L9:L11" si="22">1/((J9*2+K9)*0.000001)</f>
        <v>200.1152663934426</v>
      </c>
      <c r="M9">
        <f t="shared" ref="M9:M11" si="23">FLOOR(E9/((J9*2+K9)*0.001),1)</f>
        <v>40</v>
      </c>
      <c r="N9">
        <f t="shared" ref="N9:N11" si="24">M9*(2*J9+K9)*0.001</f>
        <v>199.88480000000004</v>
      </c>
      <c r="O9" s="1">
        <f t="shared" si="14"/>
        <v>195.29728000000003</v>
      </c>
      <c r="P9" s="6">
        <f t="shared" ref="P9:P11" si="25">J9*M9*B9</f>
        <v>6144000</v>
      </c>
      <c r="Q9" s="1">
        <f t="shared" si="7"/>
        <v>204.8</v>
      </c>
      <c r="R9" s="1">
        <f t="shared" si="8"/>
        <v>3604.48</v>
      </c>
      <c r="S9" s="1">
        <f t="shared" ref="S9:S11" si="26">1/((Q9*2+R9)*0.000001)</f>
        <v>249.12308673469389</v>
      </c>
      <c r="T9">
        <f t="shared" si="10"/>
        <v>50</v>
      </c>
      <c r="U9" s="1">
        <f t="shared" ref="U9:U11" si="27">T9*(2*Q9+R9)*0.001</f>
        <v>200.70400000000001</v>
      </c>
      <c r="V9" s="1">
        <f t="shared" si="15"/>
        <v>197.09952000000001</v>
      </c>
      <c r="W9" s="6">
        <f t="shared" si="12"/>
        <v>7680000</v>
      </c>
      <c r="X9" s="32">
        <f>ABS(P9-W9)/P9</f>
        <v>0.25</v>
      </c>
      <c r="Y9" s="32">
        <f t="shared" si="17"/>
        <v>0.2</v>
      </c>
      <c r="Z9" s="42">
        <f t="shared" si="13"/>
        <v>1.8022399999999834</v>
      </c>
      <c r="AA9" s="15">
        <f t="shared" si="18"/>
        <v>0</v>
      </c>
      <c r="AB9" s="15">
        <f t="shared" si="20"/>
        <v>0</v>
      </c>
      <c r="AC9" s="15">
        <f t="shared" si="21"/>
        <v>0</v>
      </c>
      <c r="AD9" s="15">
        <f t="shared" si="19"/>
        <v>0.24489795918367369</v>
      </c>
    </row>
    <row r="10" spans="1:32" x14ac:dyDescent="0.25">
      <c r="A10" s="31" t="s">
        <v>30</v>
      </c>
      <c r="B10" s="5">
        <f t="shared" si="0"/>
        <v>750</v>
      </c>
      <c r="C10">
        <v>200</v>
      </c>
      <c r="D10">
        <v>200</v>
      </c>
      <c r="E10" s="4">
        <v>200</v>
      </c>
      <c r="F10" s="35">
        <f>1/(H10/D10)*$AF$4</f>
        <v>600</v>
      </c>
      <c r="G10" s="18">
        <v>200</v>
      </c>
      <c r="H10" s="17">
        <f t="shared" ref="H10:H11" si="28">D10*1.25</f>
        <v>250</v>
      </c>
      <c r="I10" s="19">
        <v>201</v>
      </c>
      <c r="J10" s="1">
        <f t="shared" si="1"/>
        <v>204.8</v>
      </c>
      <c r="K10" s="1">
        <f t="shared" si="2"/>
        <v>4587.5200000000004</v>
      </c>
      <c r="L10" s="1">
        <f t="shared" si="22"/>
        <v>200.1152663934426</v>
      </c>
      <c r="M10">
        <f t="shared" si="23"/>
        <v>40</v>
      </c>
      <c r="N10">
        <f t="shared" si="24"/>
        <v>199.88480000000004</v>
      </c>
      <c r="O10" s="1">
        <f t="shared" si="14"/>
        <v>195.29728000000003</v>
      </c>
      <c r="P10" s="6">
        <f t="shared" si="25"/>
        <v>6144000</v>
      </c>
      <c r="Q10" s="1">
        <f t="shared" si="7"/>
        <v>204.8</v>
      </c>
      <c r="R10" s="1">
        <f t="shared" si="8"/>
        <v>3604.48</v>
      </c>
      <c r="S10" s="1">
        <f t="shared" si="26"/>
        <v>249.12308673469389</v>
      </c>
      <c r="T10">
        <f t="shared" si="10"/>
        <v>50</v>
      </c>
      <c r="U10" s="1">
        <f t="shared" si="27"/>
        <v>200.70400000000001</v>
      </c>
      <c r="V10" s="1">
        <f t="shared" si="15"/>
        <v>197.09952000000001</v>
      </c>
      <c r="W10" s="6">
        <f t="shared" si="12"/>
        <v>6144000</v>
      </c>
      <c r="X10" s="32">
        <f t="shared" si="16"/>
        <v>0</v>
      </c>
      <c r="Y10" s="32">
        <f t="shared" si="17"/>
        <v>0</v>
      </c>
      <c r="Z10" s="42">
        <f t="shared" si="13"/>
        <v>1.8022399999999834</v>
      </c>
      <c r="AA10" s="15">
        <f t="shared" si="18"/>
        <v>0.2</v>
      </c>
      <c r="AB10" s="15">
        <f t="shared" si="20"/>
        <v>-0.2</v>
      </c>
      <c r="AC10" s="15">
        <f t="shared" si="21"/>
        <v>0</v>
      </c>
      <c r="AD10" s="15">
        <f t="shared" si="19"/>
        <v>0.24489795918367369</v>
      </c>
    </row>
    <row r="11" spans="1:32" x14ac:dyDescent="0.25">
      <c r="A11" s="31" t="s">
        <v>28</v>
      </c>
      <c r="B11" s="5">
        <f t="shared" si="0"/>
        <v>750</v>
      </c>
      <c r="C11">
        <v>200</v>
      </c>
      <c r="D11">
        <v>200</v>
      </c>
      <c r="E11" s="4">
        <v>200</v>
      </c>
      <c r="F11" s="5">
        <f>1*$AF$4</f>
        <v>750</v>
      </c>
      <c r="G11" s="17">
        <f>C11*1/(H11/D11)</f>
        <v>160</v>
      </c>
      <c r="H11" s="17">
        <f t="shared" si="28"/>
        <v>250</v>
      </c>
      <c r="I11" s="19">
        <v>201</v>
      </c>
      <c r="J11" s="1">
        <f t="shared" si="1"/>
        <v>204.8</v>
      </c>
      <c r="K11" s="1">
        <f t="shared" si="2"/>
        <v>4587.5200000000004</v>
      </c>
      <c r="L11" s="1">
        <f t="shared" si="22"/>
        <v>200.1152663934426</v>
      </c>
      <c r="M11">
        <f t="shared" si="23"/>
        <v>40</v>
      </c>
      <c r="N11">
        <f t="shared" si="24"/>
        <v>199.88480000000004</v>
      </c>
      <c r="O11" s="1">
        <f t="shared" si="14"/>
        <v>195.29728000000003</v>
      </c>
      <c r="P11" s="6">
        <f t="shared" si="25"/>
        <v>6144000</v>
      </c>
      <c r="Q11" s="1">
        <f t="shared" si="7"/>
        <v>163.84</v>
      </c>
      <c r="R11" s="1">
        <f t="shared" si="8"/>
        <v>3686.4</v>
      </c>
      <c r="S11" s="1">
        <f t="shared" si="26"/>
        <v>249.12308673469389</v>
      </c>
      <c r="T11">
        <f t="shared" si="10"/>
        <v>50</v>
      </c>
      <c r="U11" s="1">
        <f t="shared" si="27"/>
        <v>200.70400000000001</v>
      </c>
      <c r="V11" s="1">
        <f t="shared" si="15"/>
        <v>197.01760000000002</v>
      </c>
      <c r="W11" s="6">
        <f t="shared" si="12"/>
        <v>6144000</v>
      </c>
      <c r="X11" s="32">
        <f t="shared" si="16"/>
        <v>0</v>
      </c>
      <c r="Y11" s="32">
        <f t="shared" si="17"/>
        <v>0</v>
      </c>
      <c r="Z11" s="42">
        <f t="shared" si="13"/>
        <v>1.7203199999999867</v>
      </c>
      <c r="AA11" s="15">
        <f t="shared" si="18"/>
        <v>0.2</v>
      </c>
      <c r="AB11" s="15">
        <f t="shared" si="20"/>
        <v>0</v>
      </c>
      <c r="AC11" s="15">
        <f t="shared" si="21"/>
        <v>-0.20000000000000004</v>
      </c>
      <c r="AD11" s="15">
        <f t="shared" si="19"/>
        <v>0.24489795918367369</v>
      </c>
    </row>
    <row r="12" spans="1:32" x14ac:dyDescent="0.25">
      <c r="AB12" s="15">
        <f>(B3-F3)/F3</f>
        <v>-0.2</v>
      </c>
      <c r="AC12" s="15">
        <f>(J3-Q3)/Q3</f>
        <v>0</v>
      </c>
      <c r="AD12" s="15">
        <f>(L3-S3)/S3</f>
        <v>0</v>
      </c>
      <c r="AE12" s="44" t="s">
        <v>43</v>
      </c>
    </row>
    <row r="13" spans="1:32" x14ac:dyDescent="0.25">
      <c r="AB13" s="15">
        <f t="shared" ref="AB13:AB20" si="29">(B4-F4)/F4</f>
        <v>-0.2</v>
      </c>
      <c r="AC13" s="15">
        <f t="shared" ref="AC13:AC20" si="30">(J4-Q4)/Q4</f>
        <v>0.25000000000000006</v>
      </c>
      <c r="AD13" s="15">
        <f t="shared" ref="AD13:AD20" si="31">(L4-S4)/S4</f>
        <v>0</v>
      </c>
    </row>
    <row r="14" spans="1:32" x14ac:dyDescent="0.25">
      <c r="F14" s="7"/>
      <c r="G14" s="7"/>
      <c r="H14" s="47" t="s">
        <v>44</v>
      </c>
      <c r="AB14" s="15">
        <f t="shared" si="29"/>
        <v>-0.2</v>
      </c>
      <c r="AC14" s="15">
        <f t="shared" si="30"/>
        <v>0</v>
      </c>
      <c r="AD14" s="15">
        <f>(L5-S5)/S5</f>
        <v>0.2459016393442621</v>
      </c>
    </row>
    <row r="15" spans="1:32" x14ac:dyDescent="0.25">
      <c r="G15" t="s">
        <v>45</v>
      </c>
      <c r="H15">
        <f>D5*1/(F5/B5)</f>
        <v>160</v>
      </c>
      <c r="L15" s="36"/>
      <c r="AB15" s="15">
        <f t="shared" si="29"/>
        <v>0</v>
      </c>
      <c r="AC15" s="15">
        <f t="shared" si="30"/>
        <v>-0.1666666666666666</v>
      </c>
      <c r="AD15" s="15">
        <f t="shared" si="31"/>
        <v>0</v>
      </c>
    </row>
    <row r="16" spans="1:32" x14ac:dyDescent="0.25">
      <c r="G16" t="s">
        <v>46</v>
      </c>
      <c r="H16">
        <f>D8*1/(G8/C8)</f>
        <v>166.66666666666669</v>
      </c>
      <c r="L16" s="36"/>
      <c r="AB16" s="15">
        <f t="shared" si="29"/>
        <v>0.2</v>
      </c>
      <c r="AC16" s="15">
        <f t="shared" si="30"/>
        <v>-0.1666666666666666</v>
      </c>
      <c r="AD16" s="15">
        <f t="shared" si="31"/>
        <v>0</v>
      </c>
    </row>
    <row r="17" spans="12:30" x14ac:dyDescent="0.25">
      <c r="L17" s="36"/>
      <c r="AB17" s="15">
        <f t="shared" si="29"/>
        <v>0</v>
      </c>
      <c r="AC17" s="15">
        <f t="shared" si="30"/>
        <v>-0.1666666666666666</v>
      </c>
      <c r="AD17" s="15">
        <f t="shared" si="31"/>
        <v>0.20491803278688511</v>
      </c>
    </row>
    <row r="18" spans="12:30" x14ac:dyDescent="0.25">
      <c r="L18" s="36"/>
      <c r="AB18" s="15">
        <f t="shared" si="29"/>
        <v>0</v>
      </c>
      <c r="AC18" s="15">
        <f t="shared" si="30"/>
        <v>0</v>
      </c>
      <c r="AD18" s="15">
        <f t="shared" si="31"/>
        <v>-0.19672131147540997</v>
      </c>
    </row>
    <row r="19" spans="12:30" x14ac:dyDescent="0.25">
      <c r="L19" s="36"/>
      <c r="AB19" s="15">
        <f t="shared" si="29"/>
        <v>0.25</v>
      </c>
      <c r="AC19" s="15">
        <f t="shared" si="30"/>
        <v>0</v>
      </c>
      <c r="AD19" s="15">
        <f t="shared" si="31"/>
        <v>-0.19672131147540997</v>
      </c>
    </row>
    <row r="20" spans="12:30" x14ac:dyDescent="0.25">
      <c r="L20" s="36"/>
      <c r="AB20" s="15">
        <f t="shared" si="29"/>
        <v>0</v>
      </c>
      <c r="AC20" s="15">
        <f t="shared" si="30"/>
        <v>0.25000000000000006</v>
      </c>
      <c r="AD20" s="15">
        <f t="shared" si="31"/>
        <v>-0.19672131147540997</v>
      </c>
    </row>
    <row r="21" spans="12:30" x14ac:dyDescent="0.25">
      <c r="L21" s="36"/>
    </row>
    <row r="22" spans="12:30" x14ac:dyDescent="0.25">
      <c r="L22" s="36"/>
    </row>
    <row r="23" spans="12:30" x14ac:dyDescent="0.25">
      <c r="L23" s="36"/>
    </row>
  </sheetData>
  <mergeCells count="10">
    <mergeCell ref="AB1:AD1"/>
    <mergeCell ref="Z1:Z2"/>
    <mergeCell ref="A1:A2"/>
    <mergeCell ref="B1:E1"/>
    <mergeCell ref="F1:I1"/>
    <mergeCell ref="J1:P1"/>
    <mergeCell ref="Q1:W1"/>
    <mergeCell ref="X1:X2"/>
    <mergeCell ref="Y1:Y2"/>
    <mergeCell ref="AA1:AA2"/>
  </mergeCells>
  <conditionalFormatting sqref="B3:X11 Z3:AD11">
    <cfRule type="expression" dxfId="20" priority="3">
      <formula>MOD(ROW(),2)=1</formula>
    </cfRule>
  </conditionalFormatting>
  <conditionalFormatting sqref="Y3:Y11">
    <cfRule type="expression" dxfId="19" priority="2">
      <formula>MOD(ROW(),2)=1</formula>
    </cfRule>
  </conditionalFormatting>
  <conditionalFormatting sqref="AB12:AD20">
    <cfRule type="expression" dxfId="18" priority="1">
      <formula>MOD(ROW(),2)=1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7"/>
  <sheetViews>
    <sheetView zoomScale="85" zoomScaleNormal="85" workbookViewId="0">
      <selection activeCell="F3" sqref="F3"/>
    </sheetView>
  </sheetViews>
  <sheetFormatPr defaultRowHeight="15" x14ac:dyDescent="0.25"/>
  <cols>
    <col min="2" max="9" width="11.5703125" customWidth="1"/>
    <col min="10" max="14" width="8.7109375" customWidth="1"/>
    <col min="15" max="15" width="12.5703125" bestFit="1" customWidth="1"/>
    <col min="16" max="16" width="13.140625" customWidth="1"/>
    <col min="17" max="21" width="8.7109375" customWidth="1"/>
    <col min="22" max="22" width="12.5703125" bestFit="1" customWidth="1"/>
    <col min="23" max="26" width="13.140625" customWidth="1"/>
    <col min="27" max="27" width="20" bestFit="1" customWidth="1"/>
  </cols>
  <sheetData>
    <row r="1" spans="1:28" ht="15" customHeight="1" x14ac:dyDescent="0.25">
      <c r="A1" s="48" t="s">
        <v>25</v>
      </c>
      <c r="B1" s="51" t="s">
        <v>0</v>
      </c>
      <c r="C1" s="52"/>
      <c r="D1" s="52"/>
      <c r="E1" s="52"/>
      <c r="F1" s="53" t="s">
        <v>1</v>
      </c>
      <c r="G1" s="54"/>
      <c r="H1" s="54"/>
      <c r="I1" s="55"/>
      <c r="J1" s="52" t="s">
        <v>0</v>
      </c>
      <c r="K1" s="52"/>
      <c r="L1" s="52"/>
      <c r="M1" s="52"/>
      <c r="N1" s="52"/>
      <c r="O1" s="52"/>
      <c r="P1" s="56"/>
      <c r="Q1" s="54" t="s">
        <v>1</v>
      </c>
      <c r="R1" s="54"/>
      <c r="S1" s="54"/>
      <c r="T1" s="54"/>
      <c r="U1" s="54"/>
      <c r="V1" s="54"/>
      <c r="W1" s="55"/>
      <c r="X1" s="48" t="s">
        <v>15</v>
      </c>
      <c r="Y1" s="48" t="s">
        <v>41</v>
      </c>
      <c r="Z1" s="48" t="s">
        <v>19</v>
      </c>
      <c r="AA1" s="8" t="s">
        <v>2</v>
      </c>
      <c r="AB1" s="8">
        <v>24414.0625</v>
      </c>
    </row>
    <row r="2" spans="1:28" x14ac:dyDescent="0.25">
      <c r="A2" s="48"/>
      <c r="B2" s="9" t="s">
        <v>14</v>
      </c>
      <c r="C2" s="13" t="s">
        <v>4</v>
      </c>
      <c r="D2" s="13" t="s">
        <v>5</v>
      </c>
      <c r="E2" s="13" t="s">
        <v>6</v>
      </c>
      <c r="F2" s="10" t="s">
        <v>14</v>
      </c>
      <c r="G2" s="14" t="s">
        <v>4</v>
      </c>
      <c r="H2" s="14" t="s">
        <v>5</v>
      </c>
      <c r="I2" s="11" t="s">
        <v>6</v>
      </c>
      <c r="J2" s="13" t="s">
        <v>4</v>
      </c>
      <c r="K2" s="13" t="s">
        <v>7</v>
      </c>
      <c r="L2" s="13" t="s">
        <v>5</v>
      </c>
      <c r="M2" s="13" t="s">
        <v>8</v>
      </c>
      <c r="N2" s="13" t="s">
        <v>6</v>
      </c>
      <c r="O2" s="13" t="s">
        <v>16</v>
      </c>
      <c r="P2" s="12" t="s">
        <v>9</v>
      </c>
      <c r="Q2" s="14" t="s">
        <v>4</v>
      </c>
      <c r="R2" s="14" t="s">
        <v>7</v>
      </c>
      <c r="S2" s="14" t="s">
        <v>5</v>
      </c>
      <c r="T2" s="14" t="s">
        <v>8</v>
      </c>
      <c r="U2" s="14" t="s">
        <v>6</v>
      </c>
      <c r="V2" s="14" t="s">
        <v>16</v>
      </c>
      <c r="W2" s="11" t="s">
        <v>9</v>
      </c>
      <c r="X2" s="48"/>
      <c r="Y2" s="48"/>
      <c r="Z2" s="48"/>
      <c r="AA2" s="8" t="s">
        <v>10</v>
      </c>
      <c r="AB2" s="8">
        <f>1/AB1*1000000</f>
        <v>40.96</v>
      </c>
    </row>
    <row r="3" spans="1:28" x14ac:dyDescent="0.25">
      <c r="A3" s="30" t="s">
        <v>11</v>
      </c>
      <c r="B3" s="5">
        <f>1*$AB$3</f>
        <v>750</v>
      </c>
      <c r="C3">
        <v>200</v>
      </c>
      <c r="D3">
        <v>200</v>
      </c>
      <c r="E3" s="4">
        <v>200</v>
      </c>
      <c r="F3" s="35">
        <f>StimParameters_for2AFC!F3</f>
        <v>937.5</v>
      </c>
      <c r="G3">
        <v>200</v>
      </c>
      <c r="H3">
        <v>200</v>
      </c>
      <c r="I3" s="4">
        <v>200</v>
      </c>
      <c r="J3" s="1">
        <f>ROUND(C3/$AB$2,0)*$AB$2</f>
        <v>204.8</v>
      </c>
      <c r="K3" s="1">
        <f>ROUND((1/D3*1000000-2*J3)/$AB$2,0)*$AB$2</f>
        <v>4587.5200000000004</v>
      </c>
      <c r="L3" s="1">
        <f>1/((J3*2+K3)*0.000001)</f>
        <v>200.1152663934426</v>
      </c>
      <c r="M3">
        <f>FLOOR(E3/((J3*2+K3)*0.001),1)</f>
        <v>40</v>
      </c>
      <c r="N3">
        <f>M3*(2*J3+K3)*0.001</f>
        <v>199.88480000000004</v>
      </c>
      <c r="O3" s="1">
        <f>N3-K3/1000</f>
        <v>195.29728000000003</v>
      </c>
      <c r="P3" s="6">
        <f>J3*M3*B3</f>
        <v>6144000</v>
      </c>
      <c r="Q3" s="1">
        <f>ROUND(G3/$AB$2,0)*$AB$2</f>
        <v>204.8</v>
      </c>
      <c r="R3" s="1">
        <f>ROUND((1/H3*1000000-2*Q3)/$AB$2,0)*$AB$2</f>
        <v>4587.5200000000004</v>
      </c>
      <c r="S3" s="1">
        <f>1/((Q3*2+R3)*0.000001)</f>
        <v>200.1152663934426</v>
      </c>
      <c r="T3">
        <f>FLOOR(I3/((Q3*2+R3)*0.001),1)</f>
        <v>40</v>
      </c>
      <c r="U3" s="1">
        <f>T3*(2*Q3+R3)*0.001</f>
        <v>199.88480000000004</v>
      </c>
      <c r="V3" s="1">
        <f>U3-R3/1000</f>
        <v>195.29728000000003</v>
      </c>
      <c r="W3" s="6">
        <f>Q3*T3*F3</f>
        <v>7680000</v>
      </c>
      <c r="X3" s="32">
        <f>ABS(P3-W3)/P3</f>
        <v>0.25</v>
      </c>
      <c r="Y3" s="32">
        <f>ABS(P3-W3)/W3</f>
        <v>0.2</v>
      </c>
      <c r="Z3" s="20">
        <f>ABS(O3-V3)</f>
        <v>0</v>
      </c>
      <c r="AA3" s="3" t="s">
        <v>31</v>
      </c>
      <c r="AB3" s="3">
        <f>StimParameters_for2AFC!AF4</f>
        <v>750</v>
      </c>
    </row>
    <row r="4" spans="1:28" x14ac:dyDescent="0.25">
      <c r="A4" s="30" t="s">
        <v>12</v>
      </c>
      <c r="B4" s="5">
        <f>1*$AB$3</f>
        <v>750</v>
      </c>
      <c r="C4">
        <v>200</v>
      </c>
      <c r="D4">
        <v>200</v>
      </c>
      <c r="E4" s="4">
        <v>200</v>
      </c>
      <c r="F4" s="5">
        <f>1*$AB$3</f>
        <v>750</v>
      </c>
      <c r="G4" s="17">
        <f>StimParameters_for2AFC!G6</f>
        <v>240</v>
      </c>
      <c r="H4" s="16">
        <v>200</v>
      </c>
      <c r="I4" s="4">
        <v>200</v>
      </c>
      <c r="J4" s="1">
        <f>ROUND(C4/$AB$2,0)*$AB$2</f>
        <v>204.8</v>
      </c>
      <c r="K4" s="1">
        <f>ROUND((1/D4*1000000-2*J4)/$AB$2,0)*$AB$2</f>
        <v>4587.5200000000004</v>
      </c>
      <c r="L4" s="1">
        <f>1/((J4*2+K4)*0.000001)</f>
        <v>200.1152663934426</v>
      </c>
      <c r="M4">
        <f>FLOOR(E4/((J4*2+K4)*0.001),1)</f>
        <v>40</v>
      </c>
      <c r="N4">
        <f>M4*(2*J4+K4)*0.001</f>
        <v>199.88480000000004</v>
      </c>
      <c r="O4" s="1">
        <f t="shared" ref="O4:O5" si="0">N4-K4/1000</f>
        <v>195.29728000000003</v>
      </c>
      <c r="P4" s="6">
        <f>J4*M4*B4</f>
        <v>6144000</v>
      </c>
      <c r="Q4" s="1">
        <f>ROUND(G4/$AB$2,0)*$AB$2</f>
        <v>245.76</v>
      </c>
      <c r="R4" s="1">
        <f>ROUND((1/H4*1000000-2*Q4)/$AB$2,0)*$AB$2</f>
        <v>4505.6000000000004</v>
      </c>
      <c r="S4" s="1">
        <f>1/((Q4*2+R4)*0.000001)</f>
        <v>200.1152663934426</v>
      </c>
      <c r="T4">
        <f>FLOOR(I4/((Q4*2+R4)*0.001),1)</f>
        <v>40</v>
      </c>
      <c r="U4" s="1">
        <f>T4*(2*Q4+R4)*0.001</f>
        <v>199.88480000000004</v>
      </c>
      <c r="V4" s="1">
        <f t="shared" ref="V4:V5" si="1">U4-R4/1000</f>
        <v>195.37920000000005</v>
      </c>
      <c r="W4" s="6">
        <f>Q4*T4*F4</f>
        <v>7372800</v>
      </c>
      <c r="X4" s="32">
        <f>ABS(P4-W4)/P4</f>
        <v>0.2</v>
      </c>
      <c r="Y4" s="32">
        <f t="shared" ref="Y4:Y5" si="2">ABS(P4-W4)/W4</f>
        <v>0.16666666666666666</v>
      </c>
      <c r="Z4" s="20">
        <f>ABS(O4-V4)</f>
        <v>8.1920000000025084E-2</v>
      </c>
      <c r="AA4" s="33" t="s">
        <v>32</v>
      </c>
      <c r="AB4" s="3"/>
    </row>
    <row r="5" spans="1:28" x14ac:dyDescent="0.25">
      <c r="A5" s="30" t="s">
        <v>13</v>
      </c>
      <c r="B5" s="5">
        <f>1*$AB$3</f>
        <v>750</v>
      </c>
      <c r="C5">
        <v>200</v>
      </c>
      <c r="D5">
        <v>200</v>
      </c>
      <c r="E5" s="4">
        <v>200</v>
      </c>
      <c r="F5" s="5">
        <f>1*$AB$3</f>
        <v>750</v>
      </c>
      <c r="G5" s="18">
        <v>200</v>
      </c>
      <c r="H5" s="17">
        <f>StimParameters_for2AFC!H9</f>
        <v>250</v>
      </c>
      <c r="I5" s="19">
        <v>201</v>
      </c>
      <c r="J5" s="1">
        <f>ROUND(C5/$AB$2,0)*$AB$2</f>
        <v>204.8</v>
      </c>
      <c r="K5" s="1">
        <f>ROUND((1/D5*1000000-2*J5)/$AB$2,0)*$AB$2</f>
        <v>4587.5200000000004</v>
      </c>
      <c r="L5" s="1">
        <f t="shared" ref="L5" si="3">1/((J5*2+K5)*0.000001)</f>
        <v>200.1152663934426</v>
      </c>
      <c r="M5">
        <f t="shared" ref="M5" si="4">FLOOR(E5/((J5*2+K5)*0.001),1)</f>
        <v>40</v>
      </c>
      <c r="N5">
        <f t="shared" ref="N5" si="5">M5*(2*J5+K5)*0.001</f>
        <v>199.88480000000004</v>
      </c>
      <c r="O5" s="1">
        <f t="shared" si="0"/>
        <v>195.29728000000003</v>
      </c>
      <c r="P5" s="6">
        <f t="shared" ref="P5" si="6">J5*M5*B5</f>
        <v>6144000</v>
      </c>
      <c r="Q5" s="1">
        <f>ROUND(G5/$AB$2,0)*$AB$2</f>
        <v>204.8</v>
      </c>
      <c r="R5" s="1">
        <f>ROUND((1/H5*1000000-2*Q5)/$AB$2,0)*$AB$2</f>
        <v>3604.48</v>
      </c>
      <c r="S5" s="1">
        <f t="shared" ref="S5" si="7">1/((Q5*2+R5)*0.000001)</f>
        <v>249.12308673469389</v>
      </c>
      <c r="T5">
        <f>FLOOR(I5/((Q5*2+R5)*0.001),1)</f>
        <v>50</v>
      </c>
      <c r="U5" s="1">
        <f t="shared" ref="U5" si="8">T5*(2*Q5+R5)*0.001</f>
        <v>200.70400000000001</v>
      </c>
      <c r="V5" s="1">
        <f t="shared" si="1"/>
        <v>197.09952000000001</v>
      </c>
      <c r="W5" s="6">
        <f>Q5*T5*F5</f>
        <v>7680000</v>
      </c>
      <c r="X5" s="32">
        <f>ABS(P5-W5)/P5</f>
        <v>0.25</v>
      </c>
      <c r="Y5" s="32">
        <f t="shared" si="2"/>
        <v>0.2</v>
      </c>
      <c r="Z5" s="20">
        <f>ABS(O5-V5)</f>
        <v>1.8022399999999834</v>
      </c>
    </row>
    <row r="8" spans="1:28" x14ac:dyDescent="0.25">
      <c r="F8" s="7"/>
      <c r="G8" s="7"/>
    </row>
    <row r="9" spans="1:28" x14ac:dyDescent="0.25">
      <c r="K9" s="36"/>
    </row>
    <row r="10" spans="1:28" x14ac:dyDescent="0.25">
      <c r="K10" s="36"/>
    </row>
    <row r="11" spans="1:28" x14ac:dyDescent="0.25">
      <c r="K11" s="36"/>
    </row>
    <row r="12" spans="1:28" x14ac:dyDescent="0.25">
      <c r="L12" s="36"/>
    </row>
    <row r="13" spans="1:28" x14ac:dyDescent="0.25">
      <c r="L13" s="36"/>
    </row>
    <row r="14" spans="1:28" x14ac:dyDescent="0.25">
      <c r="L14" s="36"/>
    </row>
    <row r="15" spans="1:28" x14ac:dyDescent="0.25">
      <c r="L15" s="36"/>
    </row>
    <row r="16" spans="1:28" x14ac:dyDescent="0.25">
      <c r="L16" s="36"/>
    </row>
    <row r="17" spans="12:12" x14ac:dyDescent="0.25">
      <c r="L17" s="36"/>
    </row>
  </sheetData>
  <mergeCells count="8">
    <mergeCell ref="Z1:Z2"/>
    <mergeCell ref="A1:A2"/>
    <mergeCell ref="B1:E1"/>
    <mergeCell ref="F1:I1"/>
    <mergeCell ref="J1:P1"/>
    <mergeCell ref="Q1:W1"/>
    <mergeCell ref="X1:X2"/>
    <mergeCell ref="Y1:Y2"/>
  </mergeCells>
  <conditionalFormatting sqref="B3:Z5">
    <cfRule type="expression" dxfId="17" priority="1">
      <formula>MOD(ROW(),2)=1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topLeftCell="C1" zoomScale="80" zoomScaleNormal="80" workbookViewId="0">
      <selection activeCell="AH4" sqref="AH4"/>
    </sheetView>
  </sheetViews>
  <sheetFormatPr defaultRowHeight="15" x14ac:dyDescent="0.25"/>
  <cols>
    <col min="16" max="16" width="13.140625" bestFit="1" customWidth="1"/>
    <col min="23" max="23" width="13.140625" bestFit="1" customWidth="1"/>
    <col min="29" max="29" width="11.7109375" customWidth="1"/>
    <col min="30" max="30" width="9.85546875" customWidth="1"/>
    <col min="31" max="31" width="13.28515625" customWidth="1"/>
    <col min="33" max="33" width="14.7109375" customWidth="1"/>
  </cols>
  <sheetData>
    <row r="1" spans="1:34" x14ac:dyDescent="0.25">
      <c r="A1" s="48" t="s">
        <v>25</v>
      </c>
      <c r="B1" s="51" t="s">
        <v>0</v>
      </c>
      <c r="C1" s="52"/>
      <c r="D1" s="52"/>
      <c r="E1" s="52"/>
      <c r="F1" s="53" t="s">
        <v>1</v>
      </c>
      <c r="G1" s="54"/>
      <c r="H1" s="54"/>
      <c r="I1" s="55"/>
      <c r="J1" s="52" t="s">
        <v>0</v>
      </c>
      <c r="K1" s="52"/>
      <c r="L1" s="52"/>
      <c r="M1" s="52"/>
      <c r="N1" s="52"/>
      <c r="O1" s="52"/>
      <c r="P1" s="56"/>
      <c r="Q1" s="54" t="s">
        <v>1</v>
      </c>
      <c r="R1" s="54"/>
      <c r="S1" s="54"/>
      <c r="T1" s="54"/>
      <c r="U1" s="54"/>
      <c r="V1" s="54"/>
      <c r="W1" s="55"/>
      <c r="X1" s="48" t="s">
        <v>15</v>
      </c>
      <c r="Y1" s="48" t="s">
        <v>41</v>
      </c>
      <c r="Z1" s="48" t="s">
        <v>19</v>
      </c>
      <c r="AA1" s="8" t="s">
        <v>2</v>
      </c>
      <c r="AB1" s="8">
        <v>24414.0625</v>
      </c>
      <c r="AC1" s="57" t="s">
        <v>47</v>
      </c>
      <c r="AD1" s="57" t="s">
        <v>48</v>
      </c>
      <c r="AE1" s="57" t="s">
        <v>52</v>
      </c>
      <c r="AF1" s="57" t="s">
        <v>48</v>
      </c>
      <c r="AG1" s="57" t="s">
        <v>53</v>
      </c>
      <c r="AH1" s="57" t="s">
        <v>48</v>
      </c>
    </row>
    <row r="2" spans="1:34" ht="15" customHeight="1" x14ac:dyDescent="0.25">
      <c r="A2" s="48"/>
      <c r="B2" s="9" t="s">
        <v>14</v>
      </c>
      <c r="C2" s="13" t="s">
        <v>4</v>
      </c>
      <c r="D2" s="13" t="s">
        <v>5</v>
      </c>
      <c r="E2" s="13" t="s">
        <v>6</v>
      </c>
      <c r="F2" s="10" t="s">
        <v>14</v>
      </c>
      <c r="G2" s="14" t="s">
        <v>4</v>
      </c>
      <c r="H2" s="14" t="s">
        <v>5</v>
      </c>
      <c r="I2" s="11" t="s">
        <v>6</v>
      </c>
      <c r="J2" s="13" t="s">
        <v>4</v>
      </c>
      <c r="K2" s="13" t="s">
        <v>7</v>
      </c>
      <c r="L2" s="13" t="s">
        <v>5</v>
      </c>
      <c r="M2" s="13" t="s">
        <v>8</v>
      </c>
      <c r="N2" s="13" t="s">
        <v>6</v>
      </c>
      <c r="O2" s="13" t="s">
        <v>16</v>
      </c>
      <c r="P2" s="12" t="s">
        <v>9</v>
      </c>
      <c r="Q2" s="14" t="s">
        <v>4</v>
      </c>
      <c r="R2" s="14" t="s">
        <v>7</v>
      </c>
      <c r="S2" s="14" t="s">
        <v>5</v>
      </c>
      <c r="T2" s="14" t="s">
        <v>8</v>
      </c>
      <c r="U2" s="14" t="s">
        <v>6</v>
      </c>
      <c r="V2" s="14" t="s">
        <v>16</v>
      </c>
      <c r="W2" s="11" t="s">
        <v>9</v>
      </c>
      <c r="X2" s="48"/>
      <c r="Y2" s="48"/>
      <c r="Z2" s="48"/>
      <c r="AA2" s="8" t="s">
        <v>10</v>
      </c>
      <c r="AB2" s="8">
        <f>1/AB1*1000000</f>
        <v>40.96</v>
      </c>
      <c r="AC2" s="57"/>
      <c r="AD2" s="57"/>
      <c r="AE2" s="57"/>
      <c r="AF2" s="57"/>
      <c r="AG2" s="57"/>
      <c r="AH2" s="57"/>
    </row>
    <row r="3" spans="1:34" x14ac:dyDescent="0.25">
      <c r="A3" s="30" t="s">
        <v>11</v>
      </c>
      <c r="B3" s="5">
        <f t="shared" ref="B3:B7" si="0">1*$AB$4</f>
        <v>3700</v>
      </c>
      <c r="C3">
        <v>200</v>
      </c>
      <c r="D3">
        <v>200</v>
      </c>
      <c r="E3" s="4">
        <v>200</v>
      </c>
      <c r="F3" s="35">
        <f>B3+AC3</f>
        <v>3700</v>
      </c>
      <c r="G3">
        <f>C3+AE3</f>
        <v>200</v>
      </c>
      <c r="H3">
        <f>D3+AG3</f>
        <v>240</v>
      </c>
      <c r="I3" s="4">
        <v>200</v>
      </c>
      <c r="J3" s="1">
        <f t="shared" ref="J3:J7" si="1">ROUND(C3/$AB$2,0)*$AB$2</f>
        <v>204.8</v>
      </c>
      <c r="K3" s="1">
        <f t="shared" ref="K3:K7" si="2">ROUND((1/D3*1000000-2*J3)/$AB$2,0)*$AB$2</f>
        <v>4587.5200000000004</v>
      </c>
      <c r="L3" s="1">
        <f t="shared" ref="L3:L7" si="3">1/((J3*2+K3)*0.000001)</f>
        <v>200.1152663934426</v>
      </c>
      <c r="M3">
        <f t="shared" ref="M3:M7" si="4">FLOOR(E3/((J3*2+K3)*0.001),1)</f>
        <v>40</v>
      </c>
      <c r="N3">
        <f t="shared" ref="N3:N7" si="5">M3*(2*J3+K3)*0.001</f>
        <v>199.88480000000004</v>
      </c>
      <c r="O3" s="1">
        <f>N3-K3/1000</f>
        <v>195.29728000000003</v>
      </c>
      <c r="P3" s="6">
        <f t="shared" ref="P3:P7" si="6">J3*M3*B3</f>
        <v>30310400</v>
      </c>
      <c r="Q3" s="1">
        <f t="shared" ref="Q3:Q7" si="7">ROUND(G3/$AB$2,0)*$AB$2</f>
        <v>204.8</v>
      </c>
      <c r="R3" s="1">
        <f t="shared" ref="R3:R7" si="8">ROUND((1/H3*1000000-2*Q3)/$AB$2,0)*$AB$2</f>
        <v>3768.32</v>
      </c>
      <c r="S3" s="1">
        <f t="shared" ref="S3:S7" si="9">1/((Q3*2+R3)*0.000001)</f>
        <v>239.35355392156865</v>
      </c>
      <c r="T3">
        <f t="shared" ref="T3:T7" si="10">FLOOR(I3/((Q3*2+R3)*0.001),1)</f>
        <v>47</v>
      </c>
      <c r="U3" s="1">
        <f t="shared" ref="U3:U7" si="11">T3*(2*Q3+R3)*0.001</f>
        <v>196.36223999999999</v>
      </c>
      <c r="V3" s="1">
        <f>U3-R3/1000</f>
        <v>192.59392</v>
      </c>
      <c r="W3" s="6">
        <f t="shared" ref="W3:W7" si="12">Q3*T3*F3</f>
        <v>35614720</v>
      </c>
      <c r="X3" s="32">
        <f>ABS(P3-W3)/P3</f>
        <v>0.17499999999999999</v>
      </c>
      <c r="Y3" s="32">
        <f>ABS(P3-W3)/W3</f>
        <v>0.14893617021276595</v>
      </c>
      <c r="Z3" s="20">
        <f t="shared" ref="Z3:Z7" si="13">ABS(O3-V3)</f>
        <v>2.703360000000032</v>
      </c>
      <c r="AC3">
        <v>0</v>
      </c>
      <c r="AD3">
        <v>0</v>
      </c>
      <c r="AE3">
        <v>0</v>
      </c>
      <c r="AF3">
        <v>0</v>
      </c>
      <c r="AG3">
        <v>40</v>
      </c>
      <c r="AH3">
        <v>35</v>
      </c>
    </row>
    <row r="4" spans="1:34" x14ac:dyDescent="0.25">
      <c r="A4" s="31"/>
      <c r="B4" s="5">
        <f t="shared" si="0"/>
        <v>3700</v>
      </c>
      <c r="C4">
        <v>200</v>
      </c>
      <c r="D4">
        <v>200</v>
      </c>
      <c r="E4" s="4">
        <v>200</v>
      </c>
      <c r="F4" s="35">
        <f t="shared" ref="F4:F12" si="14">B4+AC4</f>
        <v>3700</v>
      </c>
      <c r="G4">
        <f t="shared" ref="G4:G12" si="15">C4+AE4</f>
        <v>200</v>
      </c>
      <c r="H4">
        <f t="shared" ref="H4:H12" si="16">D4+AG4</f>
        <v>275</v>
      </c>
      <c r="I4" s="4">
        <v>200</v>
      </c>
      <c r="J4" s="1">
        <f t="shared" si="1"/>
        <v>204.8</v>
      </c>
      <c r="K4" s="1">
        <f t="shared" si="2"/>
        <v>4587.5200000000004</v>
      </c>
      <c r="L4" s="1">
        <f t="shared" si="3"/>
        <v>200.1152663934426</v>
      </c>
      <c r="M4">
        <f t="shared" si="4"/>
        <v>40</v>
      </c>
      <c r="N4">
        <f t="shared" si="5"/>
        <v>199.88480000000004</v>
      </c>
      <c r="O4" s="1">
        <f t="shared" ref="O4:O7" si="17">N4-K4/1000</f>
        <v>195.29728000000003</v>
      </c>
      <c r="P4" s="6">
        <f t="shared" si="6"/>
        <v>30310400</v>
      </c>
      <c r="Q4" s="1">
        <f t="shared" si="7"/>
        <v>204.8</v>
      </c>
      <c r="R4" s="1">
        <f t="shared" si="8"/>
        <v>3235.84</v>
      </c>
      <c r="S4" s="1">
        <f t="shared" si="9"/>
        <v>274.31530898876406</v>
      </c>
      <c r="T4">
        <f t="shared" si="10"/>
        <v>54</v>
      </c>
      <c r="U4" s="1">
        <f t="shared" si="11"/>
        <v>196.85376000000002</v>
      </c>
      <c r="V4" s="1">
        <f t="shared" ref="V4:V7" si="18">U4-R4/1000</f>
        <v>193.61792000000003</v>
      </c>
      <c r="W4" s="6">
        <f t="shared" si="12"/>
        <v>40919040</v>
      </c>
      <c r="X4" s="32">
        <f t="shared" ref="X4:X7" si="19">ABS(P4-W4)/P4</f>
        <v>0.35</v>
      </c>
      <c r="Y4" s="32">
        <f t="shared" ref="Y4:Y7" si="20">ABS(P4-W4)/W4</f>
        <v>0.25925925925925924</v>
      </c>
      <c r="Z4" s="20">
        <f t="shared" si="13"/>
        <v>1.6793600000000026</v>
      </c>
      <c r="AA4" s="3" t="s">
        <v>31</v>
      </c>
      <c r="AB4" s="3">
        <v>3700</v>
      </c>
      <c r="AC4">
        <f>AC3+$AD$3</f>
        <v>0</v>
      </c>
      <c r="AE4">
        <f>AE3+$AF$3</f>
        <v>0</v>
      </c>
      <c r="AG4">
        <f>AG3+$AH$3</f>
        <v>75</v>
      </c>
    </row>
    <row r="5" spans="1:34" x14ac:dyDescent="0.25">
      <c r="A5" s="31"/>
      <c r="B5" s="5">
        <f t="shared" si="0"/>
        <v>3700</v>
      </c>
      <c r="C5">
        <v>200</v>
      </c>
      <c r="D5">
        <v>200</v>
      </c>
      <c r="E5" s="4">
        <v>200</v>
      </c>
      <c r="F5" s="35">
        <f t="shared" si="14"/>
        <v>3700</v>
      </c>
      <c r="G5">
        <f t="shared" si="15"/>
        <v>200</v>
      </c>
      <c r="H5">
        <f t="shared" si="16"/>
        <v>310</v>
      </c>
      <c r="I5" s="4">
        <v>200</v>
      </c>
      <c r="J5" s="1">
        <f t="shared" si="1"/>
        <v>204.8</v>
      </c>
      <c r="K5" s="1">
        <f t="shared" si="2"/>
        <v>4587.5200000000004</v>
      </c>
      <c r="L5" s="1">
        <f t="shared" si="3"/>
        <v>200.1152663934426</v>
      </c>
      <c r="M5">
        <f t="shared" si="4"/>
        <v>40</v>
      </c>
      <c r="N5">
        <f t="shared" si="5"/>
        <v>199.88480000000004</v>
      </c>
      <c r="O5" s="1">
        <f t="shared" si="17"/>
        <v>195.29728000000003</v>
      </c>
      <c r="P5" s="6">
        <f t="shared" si="6"/>
        <v>30310400</v>
      </c>
      <c r="Q5" s="1">
        <f t="shared" si="7"/>
        <v>204.8</v>
      </c>
      <c r="R5" s="1">
        <f t="shared" si="8"/>
        <v>2826.2400000000002</v>
      </c>
      <c r="S5" s="1">
        <f t="shared" si="9"/>
        <v>309.03876582278485</v>
      </c>
      <c r="T5">
        <f t="shared" si="10"/>
        <v>61</v>
      </c>
      <c r="U5" s="1">
        <f t="shared" si="11"/>
        <v>197.38624000000002</v>
      </c>
      <c r="V5" s="1">
        <f t="shared" si="18"/>
        <v>194.56</v>
      </c>
      <c r="W5" s="6">
        <f t="shared" si="12"/>
        <v>46223360.000000007</v>
      </c>
      <c r="X5" s="32">
        <f t="shared" si="19"/>
        <v>0.52500000000000024</v>
      </c>
      <c r="Y5" s="32">
        <f t="shared" si="20"/>
        <v>0.34426229508196732</v>
      </c>
      <c r="Z5" s="20">
        <f t="shared" si="13"/>
        <v>0.7372800000000268</v>
      </c>
      <c r="AA5" s="33" t="s">
        <v>32</v>
      </c>
      <c r="AB5" s="3"/>
      <c r="AC5">
        <f t="shared" ref="AC5:AC7" si="21">AC4+$AD$3</f>
        <v>0</v>
      </c>
      <c r="AE5">
        <f t="shared" ref="AE5:AG6" si="22">AE4+$AF$3</f>
        <v>0</v>
      </c>
      <c r="AG5">
        <f t="shared" ref="AG5:AG7" si="23">AG4+$AH$3</f>
        <v>110</v>
      </c>
    </row>
    <row r="6" spans="1:34" x14ac:dyDescent="0.25">
      <c r="A6" s="30"/>
      <c r="B6" s="5">
        <f t="shared" si="0"/>
        <v>3700</v>
      </c>
      <c r="C6">
        <v>200</v>
      </c>
      <c r="D6">
        <v>200</v>
      </c>
      <c r="E6" s="4">
        <v>200</v>
      </c>
      <c r="F6" s="35">
        <f t="shared" si="14"/>
        <v>3700</v>
      </c>
      <c r="G6">
        <f t="shared" si="15"/>
        <v>200</v>
      </c>
      <c r="H6">
        <f t="shared" si="16"/>
        <v>345</v>
      </c>
      <c r="I6" s="4">
        <v>200</v>
      </c>
      <c r="J6" s="1">
        <f t="shared" si="1"/>
        <v>204.8</v>
      </c>
      <c r="K6" s="1">
        <f t="shared" si="2"/>
        <v>4587.5200000000004</v>
      </c>
      <c r="L6" s="1">
        <f t="shared" si="3"/>
        <v>200.1152663934426</v>
      </c>
      <c r="M6">
        <f t="shared" si="4"/>
        <v>40</v>
      </c>
      <c r="N6">
        <f t="shared" si="5"/>
        <v>199.88480000000004</v>
      </c>
      <c r="O6" s="1">
        <f t="shared" si="17"/>
        <v>195.29728000000003</v>
      </c>
      <c r="P6" s="6">
        <f t="shared" si="6"/>
        <v>30310400</v>
      </c>
      <c r="Q6" s="1">
        <f t="shared" si="7"/>
        <v>204.8</v>
      </c>
      <c r="R6" s="1">
        <f t="shared" si="8"/>
        <v>2498.56</v>
      </c>
      <c r="S6" s="1">
        <f t="shared" si="9"/>
        <v>343.86003521126764</v>
      </c>
      <c r="T6">
        <f t="shared" si="10"/>
        <v>68</v>
      </c>
      <c r="U6" s="1">
        <f t="shared" si="11"/>
        <v>197.75488000000001</v>
      </c>
      <c r="V6" s="1">
        <f t="shared" si="18"/>
        <v>195.25632000000002</v>
      </c>
      <c r="W6" s="6">
        <f t="shared" si="12"/>
        <v>51527680.000000007</v>
      </c>
      <c r="X6" s="32">
        <f t="shared" si="19"/>
        <v>0.70000000000000029</v>
      </c>
      <c r="Y6" s="32">
        <f t="shared" si="20"/>
        <v>0.41176470588235303</v>
      </c>
      <c r="Z6" s="20">
        <f t="shared" si="13"/>
        <v>4.0960000000012542E-2</v>
      </c>
      <c r="AC6">
        <f t="shared" si="21"/>
        <v>0</v>
      </c>
      <c r="AE6">
        <f t="shared" si="22"/>
        <v>0</v>
      </c>
      <c r="AG6">
        <f t="shared" si="23"/>
        <v>145</v>
      </c>
    </row>
    <row r="7" spans="1:34" x14ac:dyDescent="0.25">
      <c r="A7" s="31"/>
      <c r="B7" s="5">
        <f t="shared" si="0"/>
        <v>3700</v>
      </c>
      <c r="C7">
        <v>200</v>
      </c>
      <c r="D7">
        <v>200</v>
      </c>
      <c r="E7" s="4">
        <v>200</v>
      </c>
      <c r="F7" s="35">
        <f t="shared" si="14"/>
        <v>3700</v>
      </c>
      <c r="G7">
        <f t="shared" si="15"/>
        <v>200</v>
      </c>
      <c r="H7">
        <f t="shared" si="16"/>
        <v>380</v>
      </c>
      <c r="I7" s="4">
        <v>200</v>
      </c>
      <c r="J7" s="1">
        <f t="shared" si="1"/>
        <v>204.8</v>
      </c>
      <c r="K7" s="1">
        <f t="shared" si="2"/>
        <v>4587.5200000000004</v>
      </c>
      <c r="L7" s="1">
        <f t="shared" si="3"/>
        <v>200.1152663934426</v>
      </c>
      <c r="M7">
        <f t="shared" si="4"/>
        <v>40</v>
      </c>
      <c r="N7">
        <f t="shared" si="5"/>
        <v>199.88480000000004</v>
      </c>
      <c r="O7" s="1">
        <f t="shared" si="17"/>
        <v>195.29728000000003</v>
      </c>
      <c r="P7" s="6">
        <f t="shared" si="6"/>
        <v>30310400</v>
      </c>
      <c r="Q7" s="1">
        <f t="shared" si="7"/>
        <v>204.8</v>
      </c>
      <c r="R7" s="1">
        <f t="shared" si="8"/>
        <v>2211.84</v>
      </c>
      <c r="S7" s="1">
        <f t="shared" si="9"/>
        <v>381.4697265625</v>
      </c>
      <c r="T7">
        <f t="shared" si="10"/>
        <v>76</v>
      </c>
      <c r="U7" s="1">
        <f t="shared" si="11"/>
        <v>199.22944000000001</v>
      </c>
      <c r="V7" s="1">
        <f t="shared" si="18"/>
        <v>197.01760000000002</v>
      </c>
      <c r="W7" s="6">
        <f t="shared" si="12"/>
        <v>57589760.000000007</v>
      </c>
      <c r="X7" s="32">
        <f t="shared" si="19"/>
        <v>0.90000000000000024</v>
      </c>
      <c r="Y7" s="32">
        <f t="shared" si="20"/>
        <v>0.47368421052631587</v>
      </c>
      <c r="Z7" s="20">
        <f t="shared" si="13"/>
        <v>1.7203199999999867</v>
      </c>
      <c r="AA7" s="3" t="s">
        <v>49</v>
      </c>
      <c r="AB7" s="3">
        <v>4000</v>
      </c>
      <c r="AC7">
        <f t="shared" si="21"/>
        <v>0</v>
      </c>
      <c r="AE7">
        <v>0</v>
      </c>
      <c r="AG7">
        <f t="shared" si="23"/>
        <v>180</v>
      </c>
    </row>
    <row r="8" spans="1:34" x14ac:dyDescent="0.25">
      <c r="A8" s="30" t="s">
        <v>11</v>
      </c>
      <c r="B8" s="5">
        <f>$AB$7</f>
        <v>4000</v>
      </c>
      <c r="C8">
        <v>200</v>
      </c>
      <c r="D8">
        <v>200</v>
      </c>
      <c r="E8" s="4">
        <v>200</v>
      </c>
      <c r="F8" s="35">
        <f>B8+AC8</f>
        <v>4000</v>
      </c>
      <c r="G8">
        <f t="shared" si="15"/>
        <v>200</v>
      </c>
      <c r="H8">
        <f t="shared" si="16"/>
        <v>240</v>
      </c>
      <c r="I8" s="4">
        <v>200</v>
      </c>
      <c r="J8" s="1">
        <f t="shared" ref="J8:J12" si="24">ROUND(C8/$AB$2,0)*$AB$2</f>
        <v>204.8</v>
      </c>
      <c r="K8" s="1">
        <f t="shared" ref="K8:K12" si="25">ROUND((1/D8*1000000-2*J8)/$AB$2,0)*$AB$2</f>
        <v>4587.5200000000004</v>
      </c>
      <c r="L8" s="1">
        <f t="shared" ref="L8:L12" si="26">1/((J8*2+K8)*0.000001)</f>
        <v>200.1152663934426</v>
      </c>
      <c r="M8">
        <f t="shared" ref="M8:M12" si="27">FLOOR(E8/((J8*2+K8)*0.001),1)</f>
        <v>40</v>
      </c>
      <c r="N8">
        <f t="shared" ref="N8:N12" si="28">M8*(2*J8+K8)*0.001</f>
        <v>199.88480000000004</v>
      </c>
      <c r="O8" s="1">
        <f>N8-K8/1000</f>
        <v>195.29728000000003</v>
      </c>
      <c r="P8" s="6">
        <f t="shared" ref="P8:P12" si="29">J8*M8*B8</f>
        <v>32768000</v>
      </c>
      <c r="Q8" s="1">
        <f t="shared" ref="Q8:Q12" si="30">ROUND(G8/$AB$2,0)*$AB$2</f>
        <v>204.8</v>
      </c>
      <c r="R8" s="1">
        <f t="shared" ref="R8:R12" si="31">ROUND((1/H8*1000000-2*Q8)/$AB$2,0)*$AB$2</f>
        <v>3768.32</v>
      </c>
      <c r="S8" s="1">
        <f t="shared" ref="S8:S12" si="32">1/((Q8*2+R8)*0.000001)</f>
        <v>239.35355392156865</v>
      </c>
      <c r="T8">
        <f t="shared" ref="T8:T12" si="33">FLOOR(I8/((Q8*2+R8)*0.001),1)</f>
        <v>47</v>
      </c>
      <c r="U8" s="1">
        <f t="shared" ref="U8:U12" si="34">T8*(2*Q8+R8)*0.001</f>
        <v>196.36223999999999</v>
      </c>
      <c r="V8" s="1">
        <f>U8-R8/1000</f>
        <v>192.59392</v>
      </c>
      <c r="W8" s="6">
        <f t="shared" ref="W8:W12" si="35">Q8*T8*F8</f>
        <v>38502400</v>
      </c>
      <c r="X8" s="32">
        <f t="shared" ref="X8:X12" si="36">ABS(P8-W8)/P8</f>
        <v>0.17499999999999999</v>
      </c>
      <c r="Y8" s="32">
        <f>ABS(P8-W8)/W8</f>
        <v>0.14893617021276595</v>
      </c>
      <c r="Z8" s="20">
        <f t="shared" ref="Z8:Z12" si="37">ABS(O8-V8)</f>
        <v>2.703360000000032</v>
      </c>
      <c r="AC8">
        <f>AC3</f>
        <v>0</v>
      </c>
      <c r="AE8">
        <f>AE3</f>
        <v>0</v>
      </c>
      <c r="AG8">
        <f>AG3</f>
        <v>40</v>
      </c>
    </row>
    <row r="9" spans="1:34" x14ac:dyDescent="0.25">
      <c r="A9" s="31"/>
      <c r="B9" s="5">
        <f t="shared" ref="B9:B12" si="38">$AB$7</f>
        <v>4000</v>
      </c>
      <c r="C9">
        <v>200</v>
      </c>
      <c r="D9">
        <v>200</v>
      </c>
      <c r="E9" s="4">
        <v>200</v>
      </c>
      <c r="F9" s="35">
        <f t="shared" si="14"/>
        <v>4000</v>
      </c>
      <c r="G9">
        <f t="shared" si="15"/>
        <v>200</v>
      </c>
      <c r="H9">
        <f t="shared" si="16"/>
        <v>275</v>
      </c>
      <c r="I9" s="4">
        <v>200</v>
      </c>
      <c r="J9" s="1">
        <f t="shared" si="24"/>
        <v>204.8</v>
      </c>
      <c r="K9" s="1">
        <f t="shared" si="25"/>
        <v>4587.5200000000004</v>
      </c>
      <c r="L9" s="1">
        <f t="shared" si="26"/>
        <v>200.1152663934426</v>
      </c>
      <c r="M9">
        <f t="shared" si="27"/>
        <v>40</v>
      </c>
      <c r="N9">
        <f t="shared" si="28"/>
        <v>199.88480000000004</v>
      </c>
      <c r="O9" s="1">
        <f t="shared" ref="O9:O12" si="39">N9-K9/1000</f>
        <v>195.29728000000003</v>
      </c>
      <c r="P9" s="6">
        <f t="shared" si="29"/>
        <v>32768000</v>
      </c>
      <c r="Q9" s="1">
        <f t="shared" si="30"/>
        <v>204.8</v>
      </c>
      <c r="R9" s="1">
        <f t="shared" si="31"/>
        <v>3235.84</v>
      </c>
      <c r="S9" s="1">
        <f t="shared" si="32"/>
        <v>274.31530898876406</v>
      </c>
      <c r="T9">
        <f t="shared" si="33"/>
        <v>54</v>
      </c>
      <c r="U9" s="1">
        <f t="shared" si="34"/>
        <v>196.85376000000002</v>
      </c>
      <c r="V9" s="1">
        <f t="shared" ref="V9:V12" si="40">U9-R9/1000</f>
        <v>193.61792000000003</v>
      </c>
      <c r="W9" s="6">
        <f t="shared" si="35"/>
        <v>44236800</v>
      </c>
      <c r="X9" s="32">
        <f t="shared" si="36"/>
        <v>0.35</v>
      </c>
      <c r="Y9" s="32">
        <f t="shared" ref="Y9:Y12" si="41">ABS(P9-W9)/W9</f>
        <v>0.25925925925925924</v>
      </c>
      <c r="Z9" s="20">
        <f t="shared" si="37"/>
        <v>1.6793600000000026</v>
      </c>
      <c r="AC9">
        <f t="shared" ref="AC9:AE12" si="42">AC4</f>
        <v>0</v>
      </c>
      <c r="AE9">
        <f t="shared" si="42"/>
        <v>0</v>
      </c>
      <c r="AG9">
        <f t="shared" ref="AG9:AH9" si="43">AG4</f>
        <v>75</v>
      </c>
    </row>
    <row r="10" spans="1:34" x14ac:dyDescent="0.25">
      <c r="A10" s="31"/>
      <c r="B10" s="5">
        <f t="shared" si="38"/>
        <v>4000</v>
      </c>
      <c r="C10">
        <v>200</v>
      </c>
      <c r="D10">
        <v>200</v>
      </c>
      <c r="E10" s="4">
        <v>200</v>
      </c>
      <c r="F10" s="35">
        <f t="shared" si="14"/>
        <v>4000</v>
      </c>
      <c r="G10">
        <f t="shared" si="15"/>
        <v>200</v>
      </c>
      <c r="H10">
        <f t="shared" si="16"/>
        <v>310</v>
      </c>
      <c r="I10" s="4">
        <v>200</v>
      </c>
      <c r="J10" s="1">
        <f t="shared" si="24"/>
        <v>204.8</v>
      </c>
      <c r="K10" s="1">
        <f t="shared" si="25"/>
        <v>4587.5200000000004</v>
      </c>
      <c r="L10" s="1">
        <f t="shared" si="26"/>
        <v>200.1152663934426</v>
      </c>
      <c r="M10">
        <f t="shared" si="27"/>
        <v>40</v>
      </c>
      <c r="N10">
        <f t="shared" si="28"/>
        <v>199.88480000000004</v>
      </c>
      <c r="O10" s="1">
        <f t="shared" si="39"/>
        <v>195.29728000000003</v>
      </c>
      <c r="P10" s="6">
        <f t="shared" si="29"/>
        <v>32768000</v>
      </c>
      <c r="Q10" s="1">
        <f t="shared" si="30"/>
        <v>204.8</v>
      </c>
      <c r="R10" s="1">
        <f t="shared" si="31"/>
        <v>2826.2400000000002</v>
      </c>
      <c r="S10" s="1">
        <f t="shared" si="32"/>
        <v>309.03876582278485</v>
      </c>
      <c r="T10">
        <f t="shared" si="33"/>
        <v>61</v>
      </c>
      <c r="U10" s="1">
        <f t="shared" si="34"/>
        <v>197.38624000000002</v>
      </c>
      <c r="V10" s="1">
        <f t="shared" si="40"/>
        <v>194.56</v>
      </c>
      <c r="W10" s="6">
        <f t="shared" si="35"/>
        <v>49971200.000000007</v>
      </c>
      <c r="X10" s="32">
        <f t="shared" si="36"/>
        <v>0.52500000000000024</v>
      </c>
      <c r="Y10" s="32">
        <f t="shared" si="41"/>
        <v>0.34426229508196732</v>
      </c>
      <c r="Z10" s="20">
        <f t="shared" si="37"/>
        <v>0.7372800000000268</v>
      </c>
      <c r="AC10">
        <f t="shared" si="42"/>
        <v>0</v>
      </c>
      <c r="AE10">
        <f t="shared" si="42"/>
        <v>0</v>
      </c>
      <c r="AG10">
        <f t="shared" ref="AG10:AH10" si="44">AG5</f>
        <v>110</v>
      </c>
    </row>
    <row r="11" spans="1:34" x14ac:dyDescent="0.25">
      <c r="A11" s="30"/>
      <c r="B11" s="5">
        <f t="shared" si="38"/>
        <v>4000</v>
      </c>
      <c r="C11">
        <v>200</v>
      </c>
      <c r="D11">
        <v>200</v>
      </c>
      <c r="E11" s="4">
        <v>200</v>
      </c>
      <c r="F11" s="35">
        <f t="shared" si="14"/>
        <v>4000</v>
      </c>
      <c r="G11">
        <f t="shared" si="15"/>
        <v>200</v>
      </c>
      <c r="H11">
        <f t="shared" si="16"/>
        <v>345</v>
      </c>
      <c r="I11" s="4">
        <v>200</v>
      </c>
      <c r="J11" s="1">
        <f t="shared" si="24"/>
        <v>204.8</v>
      </c>
      <c r="K11" s="1">
        <f t="shared" si="25"/>
        <v>4587.5200000000004</v>
      </c>
      <c r="L11" s="1">
        <f t="shared" si="26"/>
        <v>200.1152663934426</v>
      </c>
      <c r="M11">
        <f t="shared" si="27"/>
        <v>40</v>
      </c>
      <c r="N11">
        <f t="shared" si="28"/>
        <v>199.88480000000004</v>
      </c>
      <c r="O11" s="1">
        <f t="shared" si="39"/>
        <v>195.29728000000003</v>
      </c>
      <c r="P11" s="6">
        <f t="shared" si="29"/>
        <v>32768000</v>
      </c>
      <c r="Q11" s="1">
        <f t="shared" si="30"/>
        <v>204.8</v>
      </c>
      <c r="R11" s="1">
        <f t="shared" si="31"/>
        <v>2498.56</v>
      </c>
      <c r="S11" s="1">
        <f t="shared" si="32"/>
        <v>343.86003521126764</v>
      </c>
      <c r="T11">
        <f t="shared" si="33"/>
        <v>68</v>
      </c>
      <c r="U11" s="1">
        <f t="shared" si="34"/>
        <v>197.75488000000001</v>
      </c>
      <c r="V11" s="1">
        <f t="shared" si="40"/>
        <v>195.25632000000002</v>
      </c>
      <c r="W11" s="6">
        <f t="shared" si="35"/>
        <v>55705600.000000007</v>
      </c>
      <c r="X11" s="32">
        <f t="shared" si="36"/>
        <v>0.70000000000000018</v>
      </c>
      <c r="Y11" s="32">
        <f t="shared" si="41"/>
        <v>0.41176470588235303</v>
      </c>
      <c r="Z11" s="20">
        <f t="shared" si="37"/>
        <v>4.0960000000012542E-2</v>
      </c>
      <c r="AC11">
        <f t="shared" si="42"/>
        <v>0</v>
      </c>
      <c r="AE11">
        <f t="shared" si="42"/>
        <v>0</v>
      </c>
      <c r="AG11">
        <f t="shared" ref="AG11:AH11" si="45">AG6</f>
        <v>145</v>
      </c>
    </row>
    <row r="12" spans="1:34" x14ac:dyDescent="0.25">
      <c r="A12" s="31"/>
      <c r="B12" s="5">
        <f t="shared" si="38"/>
        <v>4000</v>
      </c>
      <c r="C12">
        <v>200</v>
      </c>
      <c r="D12">
        <v>200</v>
      </c>
      <c r="E12" s="4">
        <v>200</v>
      </c>
      <c r="F12" s="35">
        <f t="shared" si="14"/>
        <v>4000</v>
      </c>
      <c r="G12">
        <f t="shared" si="15"/>
        <v>200</v>
      </c>
      <c r="H12">
        <f t="shared" si="16"/>
        <v>380</v>
      </c>
      <c r="I12" s="4">
        <v>200</v>
      </c>
      <c r="J12" s="1">
        <f t="shared" si="24"/>
        <v>204.8</v>
      </c>
      <c r="K12" s="1">
        <f t="shared" si="25"/>
        <v>4587.5200000000004</v>
      </c>
      <c r="L12" s="1">
        <f t="shared" si="26"/>
        <v>200.1152663934426</v>
      </c>
      <c r="M12">
        <f t="shared" si="27"/>
        <v>40</v>
      </c>
      <c r="N12">
        <f t="shared" si="28"/>
        <v>199.88480000000004</v>
      </c>
      <c r="O12" s="1">
        <f t="shared" si="39"/>
        <v>195.29728000000003</v>
      </c>
      <c r="P12" s="6">
        <f t="shared" si="29"/>
        <v>32768000</v>
      </c>
      <c r="Q12" s="1">
        <f t="shared" si="30"/>
        <v>204.8</v>
      </c>
      <c r="R12" s="1">
        <f t="shared" si="31"/>
        <v>2211.84</v>
      </c>
      <c r="S12" s="1">
        <f t="shared" si="32"/>
        <v>381.4697265625</v>
      </c>
      <c r="T12">
        <f t="shared" si="33"/>
        <v>76</v>
      </c>
      <c r="U12" s="1">
        <f t="shared" si="34"/>
        <v>199.22944000000001</v>
      </c>
      <c r="V12" s="1">
        <f t="shared" si="40"/>
        <v>197.01760000000002</v>
      </c>
      <c r="W12" s="6">
        <f t="shared" si="35"/>
        <v>62259200.000000007</v>
      </c>
      <c r="X12" s="32">
        <f t="shared" si="36"/>
        <v>0.90000000000000024</v>
      </c>
      <c r="Y12" s="32">
        <f t="shared" si="41"/>
        <v>0.47368421052631587</v>
      </c>
      <c r="Z12" s="20">
        <f t="shared" si="37"/>
        <v>1.7203199999999867</v>
      </c>
      <c r="AC12">
        <f t="shared" si="42"/>
        <v>0</v>
      </c>
      <c r="AE12">
        <f t="shared" si="42"/>
        <v>0</v>
      </c>
      <c r="AG12">
        <f t="shared" ref="AG12:AH12" si="46">AG7</f>
        <v>180</v>
      </c>
    </row>
  </sheetData>
  <mergeCells count="14">
    <mergeCell ref="AG1:AG2"/>
    <mergeCell ref="AH1:AH2"/>
    <mergeCell ref="AF1:AF2"/>
    <mergeCell ref="X1:X2"/>
    <mergeCell ref="A1:A2"/>
    <mergeCell ref="B1:E1"/>
    <mergeCell ref="F1:I1"/>
    <mergeCell ref="J1:P1"/>
    <mergeCell ref="Q1:W1"/>
    <mergeCell ref="AC1:AC2"/>
    <mergeCell ref="AD1:AD2"/>
    <mergeCell ref="AE1:AE2"/>
    <mergeCell ref="Y1:Y2"/>
    <mergeCell ref="Z1:Z2"/>
  </mergeCells>
  <conditionalFormatting sqref="Z3:Z7 B3:X3 F8:F12 B4:F7 I4:X7 G4:H12">
    <cfRule type="expression" dxfId="16" priority="5">
      <formula>MOD(ROW(),2)=1</formula>
    </cfRule>
  </conditionalFormatting>
  <conditionalFormatting sqref="Y3:Y7">
    <cfRule type="expression" dxfId="15" priority="4">
      <formula>MOD(ROW(),2)=1</formula>
    </cfRule>
  </conditionalFormatting>
  <conditionalFormatting sqref="Z8:Z12 I8:X12 B8:E12">
    <cfRule type="expression" dxfId="14" priority="3">
      <formula>MOD(ROW(),2)=1</formula>
    </cfRule>
  </conditionalFormatting>
  <conditionalFormatting sqref="Y8:Y12">
    <cfRule type="expression" dxfId="13" priority="2">
      <formula>MOD(ROW(),2)=1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V45" sqref="V45"/>
    </sheetView>
  </sheetViews>
  <sheetFormatPr defaultRowHeight="15" x14ac:dyDescent="0.25"/>
  <cols>
    <col min="15" max="15" width="10" bestFit="1" customWidth="1"/>
  </cols>
  <sheetData>
    <row r="1" spans="1:25" x14ac:dyDescent="0.25">
      <c r="A1" s="58" t="s">
        <v>0</v>
      </c>
      <c r="B1" s="58"/>
      <c r="C1" s="58"/>
      <c r="D1" s="58"/>
      <c r="E1" s="58" t="s">
        <v>1</v>
      </c>
      <c r="F1" s="58"/>
      <c r="G1" s="58"/>
      <c r="H1" s="58"/>
      <c r="J1" s="58" t="s">
        <v>0</v>
      </c>
      <c r="K1" s="58"/>
      <c r="L1" s="58"/>
      <c r="M1" s="58"/>
      <c r="N1" s="58"/>
      <c r="O1" s="58"/>
      <c r="Q1" s="58" t="s">
        <v>1</v>
      </c>
      <c r="R1" s="58"/>
      <c r="S1" s="58"/>
      <c r="T1" s="58"/>
      <c r="U1" s="58"/>
      <c r="V1" s="58"/>
      <c r="X1" t="s">
        <v>2</v>
      </c>
      <c r="Y1">
        <v>48828.125</v>
      </c>
    </row>
    <row r="2" spans="1:25" x14ac:dyDescent="0.25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  <c r="J2" t="s">
        <v>4</v>
      </c>
      <c r="K2" t="s">
        <v>7</v>
      </c>
      <c r="L2" t="s">
        <v>5</v>
      </c>
      <c r="M2" t="s">
        <v>8</v>
      </c>
      <c r="N2" t="s">
        <v>6</v>
      </c>
      <c r="O2" t="s">
        <v>9</v>
      </c>
      <c r="Q2" t="s">
        <v>4</v>
      </c>
      <c r="R2" t="s">
        <v>7</v>
      </c>
      <c r="S2" t="s">
        <v>5</v>
      </c>
      <c r="T2" t="s">
        <v>8</v>
      </c>
      <c r="U2" t="s">
        <v>6</v>
      </c>
      <c r="V2" t="s">
        <v>9</v>
      </c>
      <c r="X2" t="s">
        <v>10</v>
      </c>
      <c r="Y2">
        <f>1/Y1*1000000</f>
        <v>20.48</v>
      </c>
    </row>
    <row r="3" spans="1:25" x14ac:dyDescent="0.25">
      <c r="A3">
        <v>1000</v>
      </c>
      <c r="B3">
        <v>200</v>
      </c>
      <c r="C3">
        <v>200</v>
      </c>
      <c r="D3">
        <v>200</v>
      </c>
      <c r="E3">
        <v>1000</v>
      </c>
      <c r="F3">
        <v>100</v>
      </c>
      <c r="G3">
        <v>400</v>
      </c>
      <c r="H3">
        <v>200</v>
      </c>
      <c r="J3">
        <f>ROUND(B3/$Y$2,0)*$Y$2</f>
        <v>204.8</v>
      </c>
      <c r="K3">
        <f>ROUND((1/C3*1000000-2*J3)/$Y$2,0)*$Y$2</f>
        <v>4587.5200000000004</v>
      </c>
      <c r="L3">
        <f>1/((J3*2+K3)*0.000001)</f>
        <v>200.1152663934426</v>
      </c>
      <c r="M3">
        <f>FLOOR(D3/((J3*2+K3)*0.001),1)</f>
        <v>40</v>
      </c>
      <c r="N3">
        <f>M3*(2*J3+K3)*0.001</f>
        <v>199.88480000000004</v>
      </c>
      <c r="O3">
        <f>J3*M3*A3*0.000001</f>
        <v>8.1920000000000002</v>
      </c>
      <c r="Q3">
        <f>ROUND(F3/$Y$2,0)*$Y$2</f>
        <v>102.4</v>
      </c>
      <c r="R3">
        <f>ROUND((1/G3*1000000-2*Q3)/$Y$2,0)*$Y$2</f>
        <v>2293.7600000000002</v>
      </c>
      <c r="S3">
        <f>1/((Q3*2+R3)*0.000001)</f>
        <v>400.23053278688519</v>
      </c>
      <c r="T3">
        <f>FLOOR(H3/((Q3*2+R3)*0.001),1)</f>
        <v>80</v>
      </c>
      <c r="U3">
        <f>T3*(2*Q3+R3)*0.001</f>
        <v>199.88480000000004</v>
      </c>
      <c r="V3">
        <f>Q3*T3*E3*0.000001</f>
        <v>8.1920000000000002</v>
      </c>
    </row>
    <row r="4" spans="1:25" x14ac:dyDescent="0.25">
      <c r="A4">
        <v>1000</v>
      </c>
      <c r="B4">
        <v>240</v>
      </c>
      <c r="C4">
        <v>200</v>
      </c>
      <c r="D4">
        <v>200</v>
      </c>
      <c r="E4">
        <v>1000</v>
      </c>
      <c r="F4">
        <v>60</v>
      </c>
      <c r="G4">
        <v>800</v>
      </c>
      <c r="H4">
        <v>200</v>
      </c>
      <c r="J4">
        <f t="shared" ref="J4:J7" si="0">ROUND(B4/$Y$2,0)*$Y$2</f>
        <v>245.76</v>
      </c>
      <c r="K4">
        <f t="shared" ref="K4:K7" si="1">ROUND((1/C4*1000000-2*J4)/$Y$2,0)*$Y$2</f>
        <v>4505.6000000000004</v>
      </c>
      <c r="L4">
        <f t="shared" ref="L4:L7" si="2">1/((J4*2+K4)*0.000001)</f>
        <v>200.1152663934426</v>
      </c>
      <c r="M4">
        <f t="shared" ref="M4:M7" si="3">FLOOR(D4/((J4*2+K4)*0.001),1)</f>
        <v>40</v>
      </c>
      <c r="N4">
        <f t="shared" ref="N4:N7" si="4">M4*(2*J4+K4)*0.001</f>
        <v>199.88480000000004</v>
      </c>
      <c r="O4">
        <f t="shared" ref="O4:O7" si="5">J4*M4*A4*0.000001</f>
        <v>9.8303999999999991</v>
      </c>
      <c r="Q4">
        <f t="shared" ref="Q4:Q7" si="6">ROUND(F4/$Y$2,0)*$Y$2</f>
        <v>61.44</v>
      </c>
      <c r="R4">
        <f t="shared" ref="R4:R7" si="7">ROUND((1/G4*1000000-2*Q4)/$Y$2,0)*$Y$2</f>
        <v>1126.4000000000001</v>
      </c>
      <c r="S4">
        <f t="shared" ref="S4:S7" si="8">1/((Q4*2+R4)*0.000001)</f>
        <v>800.46106557377038</v>
      </c>
      <c r="T4">
        <f t="shared" ref="T4:T7" si="9">FLOOR(H4/((Q4*2+R4)*0.001),1)</f>
        <v>160</v>
      </c>
      <c r="U4">
        <f t="shared" ref="U4:U7" si="10">T4*(2*Q4+R4)*0.001</f>
        <v>199.88480000000004</v>
      </c>
      <c r="V4">
        <f t="shared" ref="V4:V7" si="11">Q4*T4*E4*0.000001</f>
        <v>9.8303999999999991</v>
      </c>
    </row>
    <row r="5" spans="1:25" x14ac:dyDescent="0.25">
      <c r="A5">
        <v>1000</v>
      </c>
      <c r="B5">
        <v>200</v>
      </c>
      <c r="C5">
        <v>200</v>
      </c>
      <c r="D5">
        <v>200</v>
      </c>
      <c r="E5">
        <v>1000</v>
      </c>
      <c r="F5">
        <v>400</v>
      </c>
      <c r="G5">
        <v>100</v>
      </c>
      <c r="H5">
        <v>200</v>
      </c>
      <c r="J5">
        <f t="shared" si="0"/>
        <v>204.8</v>
      </c>
      <c r="K5">
        <f t="shared" si="1"/>
        <v>4587.5200000000004</v>
      </c>
      <c r="L5">
        <f t="shared" si="2"/>
        <v>200.1152663934426</v>
      </c>
      <c r="M5">
        <f t="shared" si="3"/>
        <v>40</v>
      </c>
      <c r="N5">
        <f t="shared" si="4"/>
        <v>199.88480000000004</v>
      </c>
      <c r="O5">
        <f t="shared" si="5"/>
        <v>8.1920000000000002</v>
      </c>
      <c r="Q5">
        <f t="shared" si="6"/>
        <v>409.6</v>
      </c>
      <c r="R5">
        <f t="shared" si="7"/>
        <v>9175.0400000000009</v>
      </c>
      <c r="S5">
        <f t="shared" si="8"/>
        <v>100.0576331967213</v>
      </c>
      <c r="T5">
        <f t="shared" si="9"/>
        <v>20</v>
      </c>
      <c r="U5">
        <f t="shared" si="10"/>
        <v>199.88480000000004</v>
      </c>
      <c r="V5">
        <f t="shared" si="11"/>
        <v>8.1920000000000002</v>
      </c>
    </row>
    <row r="6" spans="1:25" x14ac:dyDescent="0.25">
      <c r="A6">
        <v>1000</v>
      </c>
      <c r="B6">
        <v>200</v>
      </c>
      <c r="C6">
        <v>200</v>
      </c>
      <c r="D6">
        <v>200</v>
      </c>
      <c r="E6">
        <v>1000</v>
      </c>
      <c r="F6">
        <v>200</v>
      </c>
      <c r="G6">
        <v>100</v>
      </c>
      <c r="H6">
        <v>400</v>
      </c>
      <c r="J6">
        <f t="shared" si="0"/>
        <v>204.8</v>
      </c>
      <c r="K6">
        <f t="shared" si="1"/>
        <v>4587.5200000000004</v>
      </c>
      <c r="L6">
        <f t="shared" si="2"/>
        <v>200.1152663934426</v>
      </c>
      <c r="M6">
        <f t="shared" si="3"/>
        <v>40</v>
      </c>
      <c r="N6">
        <f t="shared" si="4"/>
        <v>199.88480000000004</v>
      </c>
      <c r="O6">
        <f t="shared" si="5"/>
        <v>8.1920000000000002</v>
      </c>
      <c r="Q6">
        <f t="shared" si="6"/>
        <v>204.8</v>
      </c>
      <c r="R6">
        <f t="shared" si="7"/>
        <v>9584.64</v>
      </c>
      <c r="S6">
        <f t="shared" si="8"/>
        <v>100.05763319672131</v>
      </c>
      <c r="T6">
        <f t="shared" si="9"/>
        <v>40</v>
      </c>
      <c r="U6">
        <f t="shared" si="10"/>
        <v>399.76959999999997</v>
      </c>
      <c r="V6">
        <f t="shared" si="11"/>
        <v>8.1920000000000002</v>
      </c>
    </row>
    <row r="7" spans="1:25" x14ac:dyDescent="0.25">
      <c r="A7">
        <v>1000</v>
      </c>
      <c r="B7">
        <v>200</v>
      </c>
      <c r="C7">
        <v>200</v>
      </c>
      <c r="D7">
        <v>200</v>
      </c>
      <c r="E7">
        <v>1000</v>
      </c>
      <c r="F7">
        <v>200</v>
      </c>
      <c r="G7">
        <v>50</v>
      </c>
      <c r="H7">
        <v>820</v>
      </c>
      <c r="J7">
        <f t="shared" si="0"/>
        <v>204.8</v>
      </c>
      <c r="K7">
        <f t="shared" si="1"/>
        <v>4587.5200000000004</v>
      </c>
      <c r="L7">
        <f t="shared" si="2"/>
        <v>200.1152663934426</v>
      </c>
      <c r="M7">
        <f t="shared" si="3"/>
        <v>40</v>
      </c>
      <c r="N7">
        <f t="shared" si="4"/>
        <v>199.88480000000004</v>
      </c>
      <c r="O7">
        <f t="shared" si="5"/>
        <v>8.1920000000000002</v>
      </c>
      <c r="Q7">
        <f t="shared" si="6"/>
        <v>204.8</v>
      </c>
      <c r="R7">
        <f t="shared" si="7"/>
        <v>19599.36</v>
      </c>
      <c r="S7">
        <f t="shared" si="8"/>
        <v>49.977610030706245</v>
      </c>
      <c r="T7">
        <f t="shared" si="9"/>
        <v>40</v>
      </c>
      <c r="U7">
        <f t="shared" si="10"/>
        <v>800.35839999999996</v>
      </c>
      <c r="V7">
        <f t="shared" si="11"/>
        <v>8.1920000000000002</v>
      </c>
    </row>
  </sheetData>
  <mergeCells count="4">
    <mergeCell ref="A1:D1"/>
    <mergeCell ref="E1:H1"/>
    <mergeCell ref="J1:O1"/>
    <mergeCell ref="Q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"/>
  <sheetViews>
    <sheetView topLeftCell="A43" workbookViewId="0">
      <selection activeCell="F75" sqref="F75"/>
    </sheetView>
  </sheetViews>
  <sheetFormatPr defaultRowHeight="15" x14ac:dyDescent="0.25"/>
  <cols>
    <col min="2" max="9" width="11.5703125" customWidth="1"/>
    <col min="10" max="15" width="8.7109375" customWidth="1"/>
    <col min="16" max="16" width="13.140625" customWidth="1"/>
    <col min="17" max="22" width="8.7109375" customWidth="1"/>
    <col min="23" max="25" width="13.140625" customWidth="1"/>
    <col min="26" max="26" width="20" bestFit="1" customWidth="1"/>
  </cols>
  <sheetData>
    <row r="1" spans="1:27" ht="15" customHeight="1" x14ac:dyDescent="0.25">
      <c r="A1" s="48" t="s">
        <v>25</v>
      </c>
      <c r="B1" s="51" t="s">
        <v>0</v>
      </c>
      <c r="C1" s="52"/>
      <c r="D1" s="52"/>
      <c r="E1" s="52"/>
      <c r="F1" s="53" t="s">
        <v>1</v>
      </c>
      <c r="G1" s="54"/>
      <c r="H1" s="54"/>
      <c r="I1" s="55"/>
      <c r="J1" s="52" t="s">
        <v>0</v>
      </c>
      <c r="K1" s="52"/>
      <c r="L1" s="52"/>
      <c r="M1" s="52"/>
      <c r="N1" s="52"/>
      <c r="O1" s="52"/>
      <c r="P1" s="56"/>
      <c r="Q1" s="54" t="s">
        <v>1</v>
      </c>
      <c r="R1" s="54"/>
      <c r="S1" s="54"/>
      <c r="T1" s="54"/>
      <c r="U1" s="54"/>
      <c r="V1" s="54"/>
      <c r="W1" s="55"/>
      <c r="X1" s="48" t="s">
        <v>15</v>
      </c>
      <c r="Y1" s="48" t="s">
        <v>19</v>
      </c>
      <c r="Z1" s="8" t="s">
        <v>2</v>
      </c>
      <c r="AA1" s="8">
        <v>24414.0625</v>
      </c>
    </row>
    <row r="2" spans="1:27" x14ac:dyDescent="0.25">
      <c r="A2" s="48"/>
      <c r="B2" s="9" t="s">
        <v>14</v>
      </c>
      <c r="C2" s="13" t="s">
        <v>4</v>
      </c>
      <c r="D2" s="13" t="s">
        <v>5</v>
      </c>
      <c r="E2" s="13" t="s">
        <v>6</v>
      </c>
      <c r="F2" s="10" t="s">
        <v>14</v>
      </c>
      <c r="G2" s="14" t="s">
        <v>4</v>
      </c>
      <c r="H2" s="14" t="s">
        <v>5</v>
      </c>
      <c r="I2" s="11" t="s">
        <v>6</v>
      </c>
      <c r="J2" s="13" t="s">
        <v>4</v>
      </c>
      <c r="K2" s="13" t="s">
        <v>7</v>
      </c>
      <c r="L2" s="13" t="s">
        <v>5</v>
      </c>
      <c r="M2" s="13" t="s">
        <v>8</v>
      </c>
      <c r="N2" s="13" t="s">
        <v>6</v>
      </c>
      <c r="O2" s="13" t="s">
        <v>16</v>
      </c>
      <c r="P2" s="12" t="s">
        <v>9</v>
      </c>
      <c r="Q2" s="14" t="s">
        <v>4</v>
      </c>
      <c r="R2" s="14" t="s">
        <v>7</v>
      </c>
      <c r="S2" s="14" t="s">
        <v>5</v>
      </c>
      <c r="T2" s="14" t="s">
        <v>8</v>
      </c>
      <c r="U2" s="14" t="s">
        <v>6</v>
      </c>
      <c r="V2" s="14" t="s">
        <v>16</v>
      </c>
      <c r="W2" s="11" t="s">
        <v>9</v>
      </c>
      <c r="X2" s="48"/>
      <c r="Y2" s="48"/>
      <c r="Z2" s="8" t="s">
        <v>10</v>
      </c>
      <c r="AA2" s="8">
        <f>1/AA1*1000000</f>
        <v>40.96</v>
      </c>
    </row>
    <row r="3" spans="1:27" x14ac:dyDescent="0.25">
      <c r="A3" s="30" t="s">
        <v>11</v>
      </c>
      <c r="B3" s="5">
        <f>1*$AA$4</f>
        <v>1</v>
      </c>
      <c r="C3">
        <v>200</v>
      </c>
      <c r="D3">
        <v>200</v>
      </c>
      <c r="E3" s="4">
        <v>200</v>
      </c>
      <c r="F3" s="5">
        <v>1.25</v>
      </c>
      <c r="G3">
        <v>200</v>
      </c>
      <c r="H3">
        <v>200</v>
      </c>
      <c r="I3" s="4">
        <v>200</v>
      </c>
      <c r="J3" s="1">
        <f t="shared" ref="J3:J8" si="0">ROUND(C3/$AA$2,0)*$AA$2</f>
        <v>204.8</v>
      </c>
      <c r="K3" s="1">
        <f t="shared" ref="K3:K8" si="1">ROUND((1/D3*1000000-2*J3)/$AA$2,0)*$AA$2</f>
        <v>4587.5200000000004</v>
      </c>
      <c r="L3" s="1">
        <f t="shared" ref="L3:L8" si="2">1/((J3*2+K3)*0.000001)</f>
        <v>200.1152663934426</v>
      </c>
      <c r="M3">
        <f t="shared" ref="M3:M8" si="3">FLOOR(E3/((J3*2+K3)*0.001),1)</f>
        <v>40</v>
      </c>
      <c r="N3">
        <f t="shared" ref="N3:N8" si="4">M3*(2*J3+K3)*0.001</f>
        <v>199.88480000000004</v>
      </c>
      <c r="O3" s="1">
        <f>N3-K3/1000</f>
        <v>195.29728000000003</v>
      </c>
      <c r="P3" s="6">
        <f t="shared" ref="P3:P8" si="5">J3*M3*B3</f>
        <v>8192</v>
      </c>
      <c r="Q3" s="1">
        <f t="shared" ref="Q3:Q8" si="6">ROUND(G3/$AA$2,0)*$AA$2</f>
        <v>204.8</v>
      </c>
      <c r="R3" s="1">
        <f t="shared" ref="R3:R8" si="7">ROUND((1/H3*1000000-2*Q3)/$AA$2,0)*$AA$2</f>
        <v>4587.5200000000004</v>
      </c>
      <c r="S3" s="1">
        <f t="shared" ref="S3:S8" si="8">1/((Q3*2+R3)*0.000001)</f>
        <v>200.1152663934426</v>
      </c>
      <c r="T3">
        <f t="shared" ref="T3:T8" si="9">FLOOR(I3/((Q3*2+R3)*0.001),1)</f>
        <v>40</v>
      </c>
      <c r="U3" s="1">
        <f t="shared" ref="U3:U8" si="10">T3*(2*Q3+R3)*0.001</f>
        <v>199.88480000000004</v>
      </c>
      <c r="V3" s="1">
        <f>U3-R3/1000</f>
        <v>195.29728000000003</v>
      </c>
      <c r="W3" s="6">
        <f t="shared" ref="W3:W8" si="11">Q3*T3*F3</f>
        <v>10240</v>
      </c>
      <c r="X3" s="32">
        <f>ABS(P3-W3)/P3</f>
        <v>0.25</v>
      </c>
      <c r="Y3" s="20">
        <f>ABS(O3-V3)</f>
        <v>0</v>
      </c>
    </row>
    <row r="4" spans="1:27" x14ac:dyDescent="0.25">
      <c r="A4" s="31" t="s">
        <v>28</v>
      </c>
      <c r="B4" s="5">
        <f t="shared" ref="B4:B11" si="12">1*$AA$4</f>
        <v>1</v>
      </c>
      <c r="C4">
        <v>200</v>
      </c>
      <c r="D4">
        <v>200</v>
      </c>
      <c r="E4" s="4">
        <v>200</v>
      </c>
      <c r="F4" s="5">
        <v>1.25</v>
      </c>
      <c r="G4" s="17">
        <v>160</v>
      </c>
      <c r="H4" s="16">
        <v>200</v>
      </c>
      <c r="I4" s="4">
        <v>200</v>
      </c>
      <c r="J4" s="1">
        <f t="shared" si="0"/>
        <v>204.8</v>
      </c>
      <c r="K4" s="1">
        <f t="shared" si="1"/>
        <v>4587.5200000000004</v>
      </c>
      <c r="L4" s="1">
        <f t="shared" si="2"/>
        <v>200.1152663934426</v>
      </c>
      <c r="M4">
        <f t="shared" si="3"/>
        <v>40</v>
      </c>
      <c r="N4">
        <f t="shared" si="4"/>
        <v>199.88480000000004</v>
      </c>
      <c r="O4" s="1">
        <f t="shared" ref="O4:O11" si="13">N4-K4/1000</f>
        <v>195.29728000000003</v>
      </c>
      <c r="P4" s="6">
        <f t="shared" si="5"/>
        <v>8192</v>
      </c>
      <c r="Q4" s="1">
        <f t="shared" si="6"/>
        <v>163.84</v>
      </c>
      <c r="R4" s="1">
        <f t="shared" si="7"/>
        <v>4669.4400000000005</v>
      </c>
      <c r="S4" s="1">
        <f t="shared" si="8"/>
        <v>200.1152663934426</v>
      </c>
      <c r="T4">
        <f t="shared" si="9"/>
        <v>40</v>
      </c>
      <c r="U4" s="1">
        <f t="shared" si="10"/>
        <v>199.88480000000004</v>
      </c>
      <c r="V4" s="1">
        <f t="shared" ref="V4:V11" si="14">U4-R4/1000</f>
        <v>195.21536000000003</v>
      </c>
      <c r="W4" s="6">
        <f t="shared" si="11"/>
        <v>8192</v>
      </c>
      <c r="X4" s="32">
        <f t="shared" ref="X4:X10" si="15">ABS(P4-W4)/P4</f>
        <v>0</v>
      </c>
      <c r="Y4" s="20">
        <f t="shared" ref="Y4:Y11" si="16">ABS(O4-V4)</f>
        <v>8.1919999999996662E-2</v>
      </c>
      <c r="Z4" s="3" t="s">
        <v>31</v>
      </c>
      <c r="AA4" s="3">
        <v>1</v>
      </c>
    </row>
    <row r="5" spans="1:27" x14ac:dyDescent="0.25">
      <c r="A5" s="31" t="s">
        <v>29</v>
      </c>
      <c r="B5" s="5">
        <f t="shared" si="12"/>
        <v>1</v>
      </c>
      <c r="C5">
        <v>200</v>
      </c>
      <c r="D5">
        <v>200</v>
      </c>
      <c r="E5" s="4">
        <v>200</v>
      </c>
      <c r="F5" s="5">
        <v>1.25</v>
      </c>
      <c r="G5" s="16">
        <v>200</v>
      </c>
      <c r="H5" s="17">
        <v>161</v>
      </c>
      <c r="I5" s="4">
        <v>200</v>
      </c>
      <c r="J5" s="1">
        <f t="shared" si="0"/>
        <v>204.8</v>
      </c>
      <c r="K5" s="1">
        <f t="shared" si="1"/>
        <v>4587.5200000000004</v>
      </c>
      <c r="L5" s="1">
        <f t="shared" si="2"/>
        <v>200.1152663934426</v>
      </c>
      <c r="M5">
        <f t="shared" si="3"/>
        <v>40</v>
      </c>
      <c r="N5">
        <f t="shared" si="4"/>
        <v>199.88480000000004</v>
      </c>
      <c r="O5" s="1">
        <f t="shared" si="13"/>
        <v>195.29728000000003</v>
      </c>
      <c r="P5" s="6">
        <f t="shared" si="5"/>
        <v>8192</v>
      </c>
      <c r="Q5" s="1">
        <f t="shared" si="6"/>
        <v>204.8</v>
      </c>
      <c r="R5" s="1">
        <f t="shared" si="7"/>
        <v>5816.32</v>
      </c>
      <c r="S5" s="1">
        <f t="shared" si="8"/>
        <v>160.61883223684211</v>
      </c>
      <c r="T5">
        <f t="shared" si="9"/>
        <v>32</v>
      </c>
      <c r="U5" s="1">
        <f t="shared" si="10"/>
        <v>199.22944000000001</v>
      </c>
      <c r="V5" s="1">
        <f t="shared" si="14"/>
        <v>193.41312000000002</v>
      </c>
      <c r="W5" s="6">
        <f t="shared" si="11"/>
        <v>8192</v>
      </c>
      <c r="X5" s="32">
        <f t="shared" si="15"/>
        <v>0</v>
      </c>
      <c r="Y5" s="20">
        <f t="shared" si="16"/>
        <v>1.8841600000000085</v>
      </c>
      <c r="Z5" s="33" t="s">
        <v>32</v>
      </c>
      <c r="AA5" s="3"/>
    </row>
    <row r="6" spans="1:27" x14ac:dyDescent="0.25">
      <c r="A6" s="30" t="s">
        <v>12</v>
      </c>
      <c r="B6" s="5">
        <f t="shared" si="12"/>
        <v>1</v>
      </c>
      <c r="C6">
        <v>200</v>
      </c>
      <c r="D6">
        <v>200</v>
      </c>
      <c r="E6" s="4">
        <v>200</v>
      </c>
      <c r="F6" s="5">
        <f t="shared" ref="F6:F11" si="17">1*$AA$4</f>
        <v>1</v>
      </c>
      <c r="G6" s="17">
        <v>240</v>
      </c>
      <c r="H6" s="16">
        <v>200</v>
      </c>
      <c r="I6" s="4">
        <v>200</v>
      </c>
      <c r="J6" s="1">
        <f t="shared" si="0"/>
        <v>204.8</v>
      </c>
      <c r="K6" s="1">
        <f t="shared" si="1"/>
        <v>4587.5200000000004</v>
      </c>
      <c r="L6" s="1">
        <f t="shared" si="2"/>
        <v>200.1152663934426</v>
      </c>
      <c r="M6">
        <f t="shared" si="3"/>
        <v>40</v>
      </c>
      <c r="N6">
        <f t="shared" si="4"/>
        <v>199.88480000000004</v>
      </c>
      <c r="O6" s="1">
        <f t="shared" si="13"/>
        <v>195.29728000000003</v>
      </c>
      <c r="P6" s="6">
        <f t="shared" si="5"/>
        <v>8192</v>
      </c>
      <c r="Q6" s="1">
        <f t="shared" si="6"/>
        <v>245.76</v>
      </c>
      <c r="R6" s="1">
        <f t="shared" si="7"/>
        <v>4505.6000000000004</v>
      </c>
      <c r="S6" s="1">
        <f t="shared" si="8"/>
        <v>200.1152663934426</v>
      </c>
      <c r="T6">
        <f t="shared" si="9"/>
        <v>40</v>
      </c>
      <c r="U6" s="1">
        <f t="shared" si="10"/>
        <v>199.88480000000004</v>
      </c>
      <c r="V6" s="1">
        <f t="shared" si="14"/>
        <v>195.37920000000005</v>
      </c>
      <c r="W6" s="6">
        <f t="shared" si="11"/>
        <v>9830.4</v>
      </c>
      <c r="X6" s="32">
        <f t="shared" si="15"/>
        <v>0.19999999999999996</v>
      </c>
      <c r="Y6" s="20">
        <f t="shared" si="16"/>
        <v>8.1920000000025084E-2</v>
      </c>
      <c r="Z6" s="34" t="s">
        <v>37</v>
      </c>
    </row>
    <row r="7" spans="1:27" x14ac:dyDescent="0.25">
      <c r="A7" s="31" t="s">
        <v>30</v>
      </c>
      <c r="B7" s="5">
        <f t="shared" si="12"/>
        <v>1</v>
      </c>
      <c r="C7">
        <v>200</v>
      </c>
      <c r="D7">
        <v>200</v>
      </c>
      <c r="E7" s="4">
        <v>200</v>
      </c>
      <c r="F7" s="5">
        <f>1/1.2*$AA$4</f>
        <v>0.83333333333333337</v>
      </c>
      <c r="G7" s="17">
        <v>240</v>
      </c>
      <c r="H7" s="16">
        <v>200</v>
      </c>
      <c r="I7" s="4">
        <v>200</v>
      </c>
      <c r="J7" s="1">
        <f t="shared" si="0"/>
        <v>204.8</v>
      </c>
      <c r="K7" s="1">
        <f t="shared" si="1"/>
        <v>4587.5200000000004</v>
      </c>
      <c r="L7" s="1">
        <f t="shared" si="2"/>
        <v>200.1152663934426</v>
      </c>
      <c r="M7">
        <f t="shared" si="3"/>
        <v>40</v>
      </c>
      <c r="N7">
        <f t="shared" si="4"/>
        <v>199.88480000000004</v>
      </c>
      <c r="O7" s="1">
        <f t="shared" si="13"/>
        <v>195.29728000000003</v>
      </c>
      <c r="P7" s="6">
        <f t="shared" si="5"/>
        <v>8192</v>
      </c>
      <c r="Q7" s="1">
        <f t="shared" si="6"/>
        <v>245.76</v>
      </c>
      <c r="R7" s="1">
        <f t="shared" si="7"/>
        <v>4505.6000000000004</v>
      </c>
      <c r="S7" s="1">
        <f t="shared" si="8"/>
        <v>200.1152663934426</v>
      </c>
      <c r="T7">
        <f t="shared" si="9"/>
        <v>40</v>
      </c>
      <c r="U7" s="1">
        <f t="shared" si="10"/>
        <v>199.88480000000004</v>
      </c>
      <c r="V7" s="1">
        <f t="shared" si="14"/>
        <v>195.37920000000005</v>
      </c>
      <c r="W7" s="6">
        <f t="shared" si="11"/>
        <v>8192</v>
      </c>
      <c r="X7" s="32">
        <f>ABS(P7-W7)/P7</f>
        <v>0</v>
      </c>
      <c r="Y7" s="20">
        <f t="shared" si="16"/>
        <v>8.1920000000025084E-2</v>
      </c>
    </row>
    <row r="8" spans="1:27" x14ac:dyDescent="0.25">
      <c r="A8" s="31" t="s">
        <v>29</v>
      </c>
      <c r="B8" s="5">
        <f t="shared" si="12"/>
        <v>1</v>
      </c>
      <c r="C8">
        <v>200</v>
      </c>
      <c r="D8">
        <v>200</v>
      </c>
      <c r="E8" s="4">
        <v>200</v>
      </c>
      <c r="F8" s="5">
        <f t="shared" si="17"/>
        <v>1</v>
      </c>
      <c r="G8" s="17">
        <v>240</v>
      </c>
      <c r="H8" s="17">
        <v>166</v>
      </c>
      <c r="I8" s="4">
        <v>200</v>
      </c>
      <c r="J8" s="1">
        <f t="shared" si="0"/>
        <v>204.8</v>
      </c>
      <c r="K8" s="1">
        <f t="shared" si="1"/>
        <v>4587.5200000000004</v>
      </c>
      <c r="L8" s="1">
        <f t="shared" si="2"/>
        <v>200.1152663934426</v>
      </c>
      <c r="M8">
        <f t="shared" si="3"/>
        <v>40</v>
      </c>
      <c r="N8">
        <f t="shared" si="4"/>
        <v>199.88480000000004</v>
      </c>
      <c r="O8" s="1">
        <f t="shared" si="13"/>
        <v>195.29728000000003</v>
      </c>
      <c r="P8" s="6">
        <f t="shared" si="5"/>
        <v>8192</v>
      </c>
      <c r="Q8" s="1">
        <f t="shared" si="6"/>
        <v>245.76</v>
      </c>
      <c r="R8" s="1">
        <f t="shared" si="7"/>
        <v>5529.6</v>
      </c>
      <c r="S8" s="1">
        <f t="shared" si="8"/>
        <v>166.08205782312925</v>
      </c>
      <c r="T8">
        <f t="shared" si="9"/>
        <v>33</v>
      </c>
      <c r="U8" s="1">
        <f t="shared" si="10"/>
        <v>198.69696000000002</v>
      </c>
      <c r="V8" s="1">
        <f t="shared" si="14"/>
        <v>193.16736000000003</v>
      </c>
      <c r="W8" s="6">
        <f t="shared" si="11"/>
        <v>8110.08</v>
      </c>
      <c r="X8" s="32">
        <f t="shared" si="15"/>
        <v>1.0000000000000009E-2</v>
      </c>
      <c r="Y8" s="20">
        <f t="shared" si="16"/>
        <v>2.1299199999999985</v>
      </c>
    </row>
    <row r="9" spans="1:27" x14ac:dyDescent="0.25">
      <c r="A9" s="30" t="s">
        <v>13</v>
      </c>
      <c r="B9" s="5">
        <f t="shared" si="12"/>
        <v>1</v>
      </c>
      <c r="C9">
        <v>200</v>
      </c>
      <c r="D9">
        <v>200</v>
      </c>
      <c r="E9" s="4">
        <v>200</v>
      </c>
      <c r="F9" s="5">
        <f t="shared" si="17"/>
        <v>1</v>
      </c>
      <c r="G9" s="18">
        <v>200</v>
      </c>
      <c r="H9" s="17">
        <v>250</v>
      </c>
      <c r="I9" s="19">
        <v>201</v>
      </c>
      <c r="J9" s="1">
        <f t="shared" ref="J9:J11" si="18">ROUND(C9/$AA$2,0)*$AA$2</f>
        <v>204.8</v>
      </c>
      <c r="K9" s="1">
        <f t="shared" ref="K9:K11" si="19">ROUND((1/D9*1000000-2*J9)/$AA$2,0)*$AA$2</f>
        <v>4587.5200000000004</v>
      </c>
      <c r="L9" s="1">
        <f t="shared" ref="L9:L11" si="20">1/((J9*2+K9)*0.000001)</f>
        <v>200.1152663934426</v>
      </c>
      <c r="M9">
        <f t="shared" ref="M9:M11" si="21">FLOOR(E9/((J9*2+K9)*0.001),1)</f>
        <v>40</v>
      </c>
      <c r="N9">
        <f t="shared" ref="N9:N11" si="22">M9*(2*J9+K9)*0.001</f>
        <v>199.88480000000004</v>
      </c>
      <c r="O9" s="1">
        <f t="shared" si="13"/>
        <v>195.29728000000003</v>
      </c>
      <c r="P9" s="6">
        <f t="shared" ref="P9:P11" si="23">J9*M9*B9</f>
        <v>8192</v>
      </c>
      <c r="Q9" s="1">
        <f t="shared" ref="Q9:Q11" si="24">ROUND(G9/$AA$2,0)*$AA$2</f>
        <v>204.8</v>
      </c>
      <c r="R9" s="1">
        <f t="shared" ref="R9:R11" si="25">ROUND((1/H9*1000000-2*Q9)/$AA$2,0)*$AA$2</f>
        <v>3604.48</v>
      </c>
      <c r="S9" s="1">
        <f t="shared" ref="S9:S11" si="26">1/((Q9*2+R9)*0.000001)</f>
        <v>249.12308673469389</v>
      </c>
      <c r="T9">
        <f t="shared" ref="T9:T11" si="27">FLOOR(I9/((Q9*2+R9)*0.001),1)</f>
        <v>50</v>
      </c>
      <c r="U9" s="1">
        <f t="shared" ref="U9:U11" si="28">T9*(2*Q9+R9)*0.001</f>
        <v>200.70400000000001</v>
      </c>
      <c r="V9" s="1">
        <f t="shared" si="14"/>
        <v>197.09952000000001</v>
      </c>
      <c r="W9" s="6">
        <f t="shared" ref="W9:W11" si="29">Q9*T9*F9</f>
        <v>10240</v>
      </c>
      <c r="X9" s="32">
        <f t="shared" si="15"/>
        <v>0.25</v>
      </c>
      <c r="Y9" s="20">
        <f t="shared" si="16"/>
        <v>1.8022399999999834</v>
      </c>
    </row>
    <row r="10" spans="1:27" x14ac:dyDescent="0.25">
      <c r="A10" s="31" t="s">
        <v>30</v>
      </c>
      <c r="B10" s="5">
        <f t="shared" si="12"/>
        <v>1</v>
      </c>
      <c r="C10">
        <v>200</v>
      </c>
      <c r="D10">
        <v>200</v>
      </c>
      <c r="E10" s="4">
        <v>200</v>
      </c>
      <c r="F10" s="5">
        <f>1/1.25*$AA$4</f>
        <v>0.8</v>
      </c>
      <c r="G10" s="18">
        <v>200</v>
      </c>
      <c r="H10" s="17">
        <v>250</v>
      </c>
      <c r="I10" s="19">
        <v>201</v>
      </c>
      <c r="J10" s="1">
        <f t="shared" si="18"/>
        <v>204.8</v>
      </c>
      <c r="K10" s="1">
        <f t="shared" si="19"/>
        <v>4587.5200000000004</v>
      </c>
      <c r="L10" s="1">
        <f t="shared" si="20"/>
        <v>200.1152663934426</v>
      </c>
      <c r="M10">
        <f t="shared" si="21"/>
        <v>40</v>
      </c>
      <c r="N10">
        <f t="shared" si="22"/>
        <v>199.88480000000004</v>
      </c>
      <c r="O10" s="1">
        <f t="shared" si="13"/>
        <v>195.29728000000003</v>
      </c>
      <c r="P10" s="6">
        <f t="shared" si="23"/>
        <v>8192</v>
      </c>
      <c r="Q10" s="1">
        <f t="shared" si="24"/>
        <v>204.8</v>
      </c>
      <c r="R10" s="1">
        <f t="shared" si="25"/>
        <v>3604.48</v>
      </c>
      <c r="S10" s="1">
        <f t="shared" si="26"/>
        <v>249.12308673469389</v>
      </c>
      <c r="T10">
        <f t="shared" si="27"/>
        <v>50</v>
      </c>
      <c r="U10" s="1">
        <f t="shared" si="28"/>
        <v>200.70400000000001</v>
      </c>
      <c r="V10" s="1">
        <f t="shared" si="14"/>
        <v>197.09952000000001</v>
      </c>
      <c r="W10" s="6">
        <f t="shared" si="29"/>
        <v>8192</v>
      </c>
      <c r="X10" s="32">
        <f t="shared" si="15"/>
        <v>0</v>
      </c>
      <c r="Y10" s="20">
        <f t="shared" si="16"/>
        <v>1.8022399999999834</v>
      </c>
    </row>
    <row r="11" spans="1:27" x14ac:dyDescent="0.25">
      <c r="A11" s="31" t="s">
        <v>28</v>
      </c>
      <c r="B11" s="5">
        <f t="shared" si="12"/>
        <v>1</v>
      </c>
      <c r="C11">
        <v>200</v>
      </c>
      <c r="D11">
        <v>200</v>
      </c>
      <c r="E11" s="4">
        <v>200</v>
      </c>
      <c r="F11" s="5">
        <f t="shared" si="17"/>
        <v>1</v>
      </c>
      <c r="G11" s="17">
        <v>160</v>
      </c>
      <c r="H11" s="17">
        <v>250</v>
      </c>
      <c r="I11" s="19">
        <v>201</v>
      </c>
      <c r="J11" s="1">
        <f t="shared" si="18"/>
        <v>204.8</v>
      </c>
      <c r="K11" s="1">
        <f t="shared" si="19"/>
        <v>4587.5200000000004</v>
      </c>
      <c r="L11" s="1">
        <f t="shared" si="20"/>
        <v>200.1152663934426</v>
      </c>
      <c r="M11">
        <f t="shared" si="21"/>
        <v>40</v>
      </c>
      <c r="N11">
        <f t="shared" si="22"/>
        <v>199.88480000000004</v>
      </c>
      <c r="O11" s="1">
        <f t="shared" si="13"/>
        <v>195.29728000000003</v>
      </c>
      <c r="P11" s="6">
        <f t="shared" si="23"/>
        <v>8192</v>
      </c>
      <c r="Q11" s="1">
        <f t="shared" si="24"/>
        <v>163.84</v>
      </c>
      <c r="R11" s="1">
        <f t="shared" si="25"/>
        <v>3686.4</v>
      </c>
      <c r="S11" s="1">
        <f t="shared" si="26"/>
        <v>249.12308673469389</v>
      </c>
      <c r="T11">
        <f t="shared" si="27"/>
        <v>50</v>
      </c>
      <c r="U11" s="1">
        <f t="shared" si="28"/>
        <v>200.70400000000001</v>
      </c>
      <c r="V11" s="1">
        <f t="shared" si="14"/>
        <v>197.01760000000002</v>
      </c>
      <c r="W11" s="6">
        <f t="shared" si="29"/>
        <v>8192</v>
      </c>
      <c r="X11" s="32">
        <f>ABS(P11-W11)/P11</f>
        <v>0</v>
      </c>
      <c r="Y11" s="20">
        <f t="shared" si="16"/>
        <v>1.7203199999999867</v>
      </c>
    </row>
    <row r="12" spans="1:27" x14ac:dyDescent="0.25">
      <c r="B12" s="21"/>
      <c r="C12" s="2"/>
      <c r="D12" s="2"/>
      <c r="E12" s="22"/>
      <c r="F12" s="23"/>
      <c r="G12" s="24"/>
      <c r="H12" s="24"/>
      <c r="I12" s="25"/>
      <c r="J12" s="26"/>
      <c r="K12" s="26"/>
      <c r="L12" s="26"/>
      <c r="M12" s="2"/>
      <c r="N12" s="2"/>
      <c r="O12" s="26"/>
      <c r="P12" s="27"/>
      <c r="Q12" s="26"/>
      <c r="R12" s="26"/>
      <c r="S12" s="26"/>
      <c r="T12" s="2"/>
      <c r="U12" s="26"/>
      <c r="V12" s="26"/>
      <c r="W12" s="27"/>
      <c r="X12" s="28"/>
      <c r="Y12" s="29"/>
    </row>
    <row r="13" spans="1:27" x14ac:dyDescent="0.25">
      <c r="A13" s="48" t="s">
        <v>25</v>
      </c>
      <c r="B13" s="51" t="s">
        <v>0</v>
      </c>
      <c r="C13" s="52"/>
      <c r="D13" s="52"/>
      <c r="E13" s="52"/>
      <c r="F13" s="53" t="s">
        <v>1</v>
      </c>
      <c r="G13" s="54"/>
      <c r="H13" s="54"/>
      <c r="I13" s="55"/>
      <c r="J13" s="52" t="s">
        <v>0</v>
      </c>
      <c r="K13" s="52"/>
      <c r="L13" s="52"/>
      <c r="M13" s="52"/>
      <c r="N13" s="52"/>
      <c r="O13" s="52"/>
      <c r="P13" s="56"/>
      <c r="Q13" s="54" t="s">
        <v>1</v>
      </c>
      <c r="R13" s="54"/>
      <c r="S13" s="54"/>
      <c r="T13" s="54"/>
      <c r="U13" s="54"/>
      <c r="V13" s="54"/>
      <c r="W13" s="55"/>
      <c r="X13" s="48" t="s">
        <v>15</v>
      </c>
      <c r="Y13" s="48" t="s">
        <v>19</v>
      </c>
      <c r="Z13" s="8" t="s">
        <v>2</v>
      </c>
      <c r="AA13" s="8">
        <v>24414.0625</v>
      </c>
    </row>
    <row r="14" spans="1:27" x14ac:dyDescent="0.25">
      <c r="A14" s="48"/>
      <c r="B14" s="9" t="s">
        <v>14</v>
      </c>
      <c r="C14" s="13" t="s">
        <v>4</v>
      </c>
      <c r="D14" s="13" t="s">
        <v>5</v>
      </c>
      <c r="E14" s="13" t="s">
        <v>6</v>
      </c>
      <c r="F14" s="10" t="s">
        <v>14</v>
      </c>
      <c r="G14" s="14" t="s">
        <v>4</v>
      </c>
      <c r="H14" s="14" t="s">
        <v>5</v>
      </c>
      <c r="I14" s="11" t="s">
        <v>6</v>
      </c>
      <c r="J14" s="13" t="s">
        <v>4</v>
      </c>
      <c r="K14" s="13" t="s">
        <v>7</v>
      </c>
      <c r="L14" s="13" t="s">
        <v>5</v>
      </c>
      <c r="M14" s="13" t="s">
        <v>8</v>
      </c>
      <c r="N14" s="13" t="s">
        <v>6</v>
      </c>
      <c r="O14" s="13" t="s">
        <v>16</v>
      </c>
      <c r="P14" s="12" t="s">
        <v>9</v>
      </c>
      <c r="Q14" s="14" t="s">
        <v>4</v>
      </c>
      <c r="R14" s="14" t="s">
        <v>7</v>
      </c>
      <c r="S14" s="14" t="s">
        <v>5</v>
      </c>
      <c r="T14" s="14" t="s">
        <v>8</v>
      </c>
      <c r="U14" s="14" t="s">
        <v>6</v>
      </c>
      <c r="V14" s="14" t="s">
        <v>16</v>
      </c>
      <c r="W14" s="11" t="s">
        <v>9</v>
      </c>
      <c r="X14" s="48"/>
      <c r="Y14" s="48"/>
      <c r="Z14" s="8" t="s">
        <v>10</v>
      </c>
      <c r="AA14" s="8">
        <f>1/AA13*1000000</f>
        <v>40.96</v>
      </c>
    </row>
    <row r="15" spans="1:27" x14ac:dyDescent="0.25">
      <c r="A15" s="30" t="s">
        <v>11</v>
      </c>
      <c r="B15" s="5">
        <f>1*$AA$4</f>
        <v>1</v>
      </c>
      <c r="C15">
        <v>400</v>
      </c>
      <c r="D15">
        <v>200</v>
      </c>
      <c r="E15" s="4">
        <v>200</v>
      </c>
      <c r="F15" s="5">
        <v>1.1000000000000001</v>
      </c>
      <c r="G15">
        <v>400</v>
      </c>
      <c r="H15">
        <v>200</v>
      </c>
      <c r="I15" s="4">
        <v>200</v>
      </c>
      <c r="J15" s="1">
        <f t="shared" ref="J15:J20" si="30">ROUND(C15/$AA$2,0)*$AA$2</f>
        <v>409.6</v>
      </c>
      <c r="K15" s="1">
        <f t="shared" ref="K15:K20" si="31">ROUND((1/D15*1000000-2*J15)/$AA$2,0)*$AA$2</f>
        <v>4177.92</v>
      </c>
      <c r="L15" s="1">
        <f t="shared" ref="L15:L20" si="32">1/((J15*2+K15)*0.000001)</f>
        <v>200.11526639344262</v>
      </c>
      <c r="M15">
        <f t="shared" ref="M15:M20" si="33">FLOOR(E15/((J15*2+K15)*0.001),1)</f>
        <v>40</v>
      </c>
      <c r="N15">
        <f t="shared" ref="N15:N20" si="34">M15*(2*J15+K15)*0.001</f>
        <v>199.88479999999998</v>
      </c>
      <c r="O15" s="1">
        <f>N15-K15/1000</f>
        <v>195.70687999999998</v>
      </c>
      <c r="P15" s="6">
        <f t="shared" ref="P15:P20" si="35">J15*M15*B15</f>
        <v>16384</v>
      </c>
      <c r="Q15" s="1">
        <f t="shared" ref="Q15:Q20" si="36">ROUND(G15/$AA$2,0)*$AA$2</f>
        <v>409.6</v>
      </c>
      <c r="R15" s="1">
        <f t="shared" ref="R15:R20" si="37">ROUND((1/H15*1000000-2*Q15)/$AA$2,0)*$AA$2</f>
        <v>4177.92</v>
      </c>
      <c r="S15" s="1">
        <f t="shared" ref="S15:S20" si="38">1/((Q15*2+R15)*0.000001)</f>
        <v>200.11526639344262</v>
      </c>
      <c r="T15">
        <f t="shared" ref="T15:T20" si="39">FLOOR(I15/((Q15*2+R15)*0.001),1)</f>
        <v>40</v>
      </c>
      <c r="U15" s="1">
        <f t="shared" ref="U15:U20" si="40">T15*(2*Q15+R15)*0.001</f>
        <v>199.88479999999998</v>
      </c>
      <c r="V15" s="1">
        <f>U15-R15/1000</f>
        <v>195.70687999999998</v>
      </c>
      <c r="W15" s="6">
        <f t="shared" ref="W15:W20" si="41">Q15*T15*F15</f>
        <v>18022.400000000001</v>
      </c>
      <c r="X15" s="32">
        <f>ABS(P15-W15)/P15</f>
        <v>0.10000000000000009</v>
      </c>
      <c r="Y15" s="20">
        <f>ABS(O15-V15)</f>
        <v>0</v>
      </c>
    </row>
    <row r="16" spans="1:27" x14ac:dyDescent="0.25">
      <c r="A16" s="31" t="s">
        <v>28</v>
      </c>
      <c r="B16" s="5">
        <f t="shared" ref="B16:B23" si="42">1*$AA$4</f>
        <v>1</v>
      </c>
      <c r="C16">
        <v>400</v>
      </c>
      <c r="D16">
        <v>200</v>
      </c>
      <c r="E16" s="4">
        <v>200</v>
      </c>
      <c r="F16" s="5">
        <v>1.1000000000000001</v>
      </c>
      <c r="G16" s="17">
        <v>360</v>
      </c>
      <c r="H16" s="16">
        <v>200</v>
      </c>
      <c r="I16" s="4">
        <v>200</v>
      </c>
      <c r="J16" s="1">
        <f t="shared" si="30"/>
        <v>409.6</v>
      </c>
      <c r="K16" s="1">
        <f t="shared" si="31"/>
        <v>4177.92</v>
      </c>
      <c r="L16" s="1">
        <f t="shared" si="32"/>
        <v>200.11526639344262</v>
      </c>
      <c r="M16">
        <f t="shared" si="33"/>
        <v>40</v>
      </c>
      <c r="N16">
        <f t="shared" si="34"/>
        <v>199.88479999999998</v>
      </c>
      <c r="O16" s="1">
        <f t="shared" ref="O16:O23" si="43">N16-K16/1000</f>
        <v>195.70687999999998</v>
      </c>
      <c r="P16" s="6">
        <f t="shared" si="35"/>
        <v>16384</v>
      </c>
      <c r="Q16" s="1">
        <f t="shared" si="36"/>
        <v>368.64</v>
      </c>
      <c r="R16" s="1">
        <f t="shared" si="37"/>
        <v>4259.84</v>
      </c>
      <c r="S16" s="1">
        <f t="shared" si="38"/>
        <v>200.11526639344262</v>
      </c>
      <c r="T16">
        <f t="shared" si="39"/>
        <v>40</v>
      </c>
      <c r="U16" s="1">
        <f t="shared" si="40"/>
        <v>199.88479999999998</v>
      </c>
      <c r="V16" s="1">
        <f t="shared" ref="V16:V23" si="44">U16-R16/1000</f>
        <v>195.62495999999999</v>
      </c>
      <c r="W16" s="6">
        <f t="shared" si="41"/>
        <v>16220.16</v>
      </c>
      <c r="X16" s="32">
        <f t="shared" ref="X16:X18" si="45">ABS(P16-W16)/P16</f>
        <v>1.0000000000000009E-2</v>
      </c>
      <c r="Y16" s="20">
        <f t="shared" ref="Y16:Y23" si="46">ABS(O16-V16)</f>
        <v>8.1919999999996662E-2</v>
      </c>
      <c r="Z16" s="3" t="s">
        <v>31</v>
      </c>
      <c r="AA16" s="3">
        <v>1</v>
      </c>
    </row>
    <row r="17" spans="1:27" x14ac:dyDescent="0.25">
      <c r="A17" s="31" t="s">
        <v>29</v>
      </c>
      <c r="B17" s="5">
        <f t="shared" si="42"/>
        <v>1</v>
      </c>
      <c r="C17">
        <v>400</v>
      </c>
      <c r="D17">
        <v>200</v>
      </c>
      <c r="E17" s="4">
        <v>200</v>
      </c>
      <c r="F17" s="5">
        <v>1.1000000000000001</v>
      </c>
      <c r="G17" s="16">
        <v>400</v>
      </c>
      <c r="H17" s="17">
        <v>181</v>
      </c>
      <c r="I17" s="4">
        <v>200</v>
      </c>
      <c r="J17" s="1">
        <f t="shared" si="30"/>
        <v>409.6</v>
      </c>
      <c r="K17" s="1">
        <f t="shared" si="31"/>
        <v>4177.92</v>
      </c>
      <c r="L17" s="1">
        <f t="shared" si="32"/>
        <v>200.11526639344262</v>
      </c>
      <c r="M17">
        <f t="shared" si="33"/>
        <v>40</v>
      </c>
      <c r="N17">
        <f t="shared" si="34"/>
        <v>199.88479999999998</v>
      </c>
      <c r="O17" s="1">
        <f t="shared" si="43"/>
        <v>195.70687999999998</v>
      </c>
      <c r="P17" s="6">
        <f t="shared" si="35"/>
        <v>16384</v>
      </c>
      <c r="Q17" s="1">
        <f t="shared" si="36"/>
        <v>409.6</v>
      </c>
      <c r="R17" s="1">
        <f t="shared" si="37"/>
        <v>4710.4000000000005</v>
      </c>
      <c r="S17" s="1">
        <f t="shared" si="38"/>
        <v>180.84490740740742</v>
      </c>
      <c r="T17">
        <f t="shared" si="39"/>
        <v>36</v>
      </c>
      <c r="U17" s="1">
        <f t="shared" si="40"/>
        <v>199.06560000000002</v>
      </c>
      <c r="V17" s="1">
        <f t="shared" si="44"/>
        <v>194.35520000000002</v>
      </c>
      <c r="W17" s="6">
        <f t="shared" si="41"/>
        <v>16220.160000000002</v>
      </c>
      <c r="X17" s="32">
        <f t="shared" si="45"/>
        <v>9.9999999999998979E-3</v>
      </c>
      <c r="Y17" s="20">
        <f t="shared" si="46"/>
        <v>1.3516799999999591</v>
      </c>
      <c r="Z17" s="33" t="s">
        <v>32</v>
      </c>
      <c r="AA17" s="3"/>
    </row>
    <row r="18" spans="1:27" x14ac:dyDescent="0.25">
      <c r="A18" s="30" t="s">
        <v>12</v>
      </c>
      <c r="B18" s="5">
        <f t="shared" si="42"/>
        <v>1</v>
      </c>
      <c r="C18">
        <v>400</v>
      </c>
      <c r="D18">
        <v>200</v>
      </c>
      <c r="E18" s="4">
        <v>200</v>
      </c>
      <c r="F18" s="5">
        <f t="shared" ref="F18:F23" si="47">1*$AA$4</f>
        <v>1</v>
      </c>
      <c r="G18" s="16">
        <v>440</v>
      </c>
      <c r="H18" s="16">
        <v>200</v>
      </c>
      <c r="I18" s="4">
        <v>200</v>
      </c>
      <c r="J18" s="1">
        <f t="shared" si="30"/>
        <v>409.6</v>
      </c>
      <c r="K18" s="1">
        <f t="shared" si="31"/>
        <v>4177.92</v>
      </c>
      <c r="L18" s="1">
        <f t="shared" si="32"/>
        <v>200.11526639344262</v>
      </c>
      <c r="M18">
        <f t="shared" si="33"/>
        <v>40</v>
      </c>
      <c r="N18">
        <f t="shared" si="34"/>
        <v>199.88479999999998</v>
      </c>
      <c r="O18" s="1">
        <f t="shared" si="43"/>
        <v>195.70687999999998</v>
      </c>
      <c r="P18" s="6">
        <f t="shared" si="35"/>
        <v>16384</v>
      </c>
      <c r="Q18" s="1">
        <f t="shared" si="36"/>
        <v>450.56</v>
      </c>
      <c r="R18" s="1">
        <f t="shared" si="37"/>
        <v>4096</v>
      </c>
      <c r="S18" s="1">
        <f t="shared" si="38"/>
        <v>200.11526639344262</v>
      </c>
      <c r="T18">
        <f t="shared" si="39"/>
        <v>40</v>
      </c>
      <c r="U18" s="1">
        <f t="shared" si="40"/>
        <v>199.88479999999998</v>
      </c>
      <c r="V18" s="1">
        <f t="shared" si="44"/>
        <v>195.78879999999998</v>
      </c>
      <c r="W18" s="6">
        <f t="shared" si="41"/>
        <v>18022.400000000001</v>
      </c>
      <c r="X18" s="32">
        <f t="shared" si="45"/>
        <v>0.10000000000000009</v>
      </c>
      <c r="Y18" s="20">
        <f t="shared" si="46"/>
        <v>8.1919999999996662E-2</v>
      </c>
      <c r="Z18" s="34" t="s">
        <v>33</v>
      </c>
    </row>
    <row r="19" spans="1:27" x14ac:dyDescent="0.25">
      <c r="A19" s="31" t="s">
        <v>30</v>
      </c>
      <c r="B19" s="5">
        <f t="shared" si="42"/>
        <v>1</v>
      </c>
      <c r="C19">
        <v>400</v>
      </c>
      <c r="D19">
        <v>200</v>
      </c>
      <c r="E19" s="4">
        <v>200</v>
      </c>
      <c r="F19" s="5">
        <f>1/1.1*$AA$4</f>
        <v>0.90909090909090906</v>
      </c>
      <c r="G19" s="16">
        <v>440</v>
      </c>
      <c r="H19" s="16">
        <v>200</v>
      </c>
      <c r="I19" s="4">
        <v>200</v>
      </c>
      <c r="J19" s="1">
        <f t="shared" si="30"/>
        <v>409.6</v>
      </c>
      <c r="K19" s="1">
        <f t="shared" si="31"/>
        <v>4177.92</v>
      </c>
      <c r="L19" s="1">
        <f t="shared" si="32"/>
        <v>200.11526639344262</v>
      </c>
      <c r="M19">
        <f t="shared" si="33"/>
        <v>40</v>
      </c>
      <c r="N19">
        <f t="shared" si="34"/>
        <v>199.88479999999998</v>
      </c>
      <c r="O19" s="1">
        <f t="shared" si="43"/>
        <v>195.70687999999998</v>
      </c>
      <c r="P19" s="6">
        <f t="shared" si="35"/>
        <v>16384</v>
      </c>
      <c r="Q19" s="1">
        <f t="shared" si="36"/>
        <v>450.56</v>
      </c>
      <c r="R19" s="1">
        <f t="shared" si="37"/>
        <v>4096</v>
      </c>
      <c r="S19" s="1">
        <f t="shared" si="38"/>
        <v>200.11526639344262</v>
      </c>
      <c r="T19">
        <f t="shared" si="39"/>
        <v>40</v>
      </c>
      <c r="U19" s="1">
        <f t="shared" si="40"/>
        <v>199.88479999999998</v>
      </c>
      <c r="V19" s="1">
        <f t="shared" si="44"/>
        <v>195.78879999999998</v>
      </c>
      <c r="W19" s="6">
        <f t="shared" si="41"/>
        <v>16384</v>
      </c>
      <c r="X19" s="32">
        <f>ABS(P19-W19)/P19</f>
        <v>0</v>
      </c>
      <c r="Y19" s="20">
        <f t="shared" si="46"/>
        <v>8.1919999999996662E-2</v>
      </c>
    </row>
    <row r="20" spans="1:27" x14ac:dyDescent="0.25">
      <c r="A20" s="31" t="s">
        <v>29</v>
      </c>
      <c r="B20" s="5">
        <f t="shared" si="42"/>
        <v>1</v>
      </c>
      <c r="C20">
        <v>400</v>
      </c>
      <c r="D20">
        <v>200</v>
      </c>
      <c r="E20" s="4">
        <v>200</v>
      </c>
      <c r="F20" s="5">
        <f t="shared" si="47"/>
        <v>1</v>
      </c>
      <c r="G20" s="16">
        <v>440</v>
      </c>
      <c r="H20" s="17">
        <v>181</v>
      </c>
      <c r="I20" s="4">
        <v>200</v>
      </c>
      <c r="J20" s="1">
        <f t="shared" si="30"/>
        <v>409.6</v>
      </c>
      <c r="K20" s="1">
        <f t="shared" si="31"/>
        <v>4177.92</v>
      </c>
      <c r="L20" s="1">
        <f t="shared" si="32"/>
        <v>200.11526639344262</v>
      </c>
      <c r="M20">
        <f t="shared" si="33"/>
        <v>40</v>
      </c>
      <c r="N20">
        <f t="shared" si="34"/>
        <v>199.88479999999998</v>
      </c>
      <c r="O20" s="1">
        <f t="shared" si="43"/>
        <v>195.70687999999998</v>
      </c>
      <c r="P20" s="6">
        <f t="shared" si="35"/>
        <v>16384</v>
      </c>
      <c r="Q20" s="1">
        <f t="shared" si="36"/>
        <v>450.56</v>
      </c>
      <c r="R20" s="1">
        <f t="shared" si="37"/>
        <v>4628.4800000000005</v>
      </c>
      <c r="S20" s="1">
        <f t="shared" si="38"/>
        <v>180.84490740740742</v>
      </c>
      <c r="T20">
        <f t="shared" si="39"/>
        <v>36</v>
      </c>
      <c r="U20" s="1">
        <f t="shared" si="40"/>
        <v>199.06560000000002</v>
      </c>
      <c r="V20" s="1">
        <f t="shared" si="44"/>
        <v>194.43712000000002</v>
      </c>
      <c r="W20" s="6">
        <f t="shared" si="41"/>
        <v>16220.16</v>
      </c>
      <c r="X20" s="32">
        <f t="shared" ref="X20:X22" si="48">ABS(P20-W20)/P20</f>
        <v>1.0000000000000009E-2</v>
      </c>
      <c r="Y20" s="20">
        <f t="shared" si="46"/>
        <v>1.2697599999999625</v>
      </c>
    </row>
    <row r="21" spans="1:27" x14ac:dyDescent="0.25">
      <c r="A21" s="30" t="s">
        <v>13</v>
      </c>
      <c r="B21" s="5">
        <f t="shared" si="42"/>
        <v>1</v>
      </c>
      <c r="C21">
        <v>400</v>
      </c>
      <c r="D21">
        <v>200</v>
      </c>
      <c r="E21" s="4">
        <v>200</v>
      </c>
      <c r="F21" s="5">
        <f t="shared" si="47"/>
        <v>1</v>
      </c>
      <c r="G21" s="18">
        <v>400</v>
      </c>
      <c r="H21" s="17">
        <v>220</v>
      </c>
      <c r="I21" s="19">
        <v>201</v>
      </c>
      <c r="J21" s="1">
        <f t="shared" ref="J21:J23" si="49">ROUND(C21/$AA$2,0)*$AA$2</f>
        <v>409.6</v>
      </c>
      <c r="K21" s="1">
        <f t="shared" ref="K21:K23" si="50">ROUND((1/D21*1000000-2*J21)/$AA$2,0)*$AA$2</f>
        <v>4177.92</v>
      </c>
      <c r="L21" s="1">
        <f t="shared" ref="L21:L23" si="51">1/((J21*2+K21)*0.000001)</f>
        <v>200.11526639344262</v>
      </c>
      <c r="M21">
        <f t="shared" ref="M21:M23" si="52">FLOOR(E21/((J21*2+K21)*0.001),1)</f>
        <v>40</v>
      </c>
      <c r="N21">
        <f t="shared" ref="N21:N23" si="53">M21*(2*J21+K21)*0.001</f>
        <v>199.88479999999998</v>
      </c>
      <c r="O21" s="1">
        <f t="shared" si="43"/>
        <v>195.70687999999998</v>
      </c>
      <c r="P21" s="6">
        <f t="shared" ref="P21:P23" si="54">J21*M21*B21</f>
        <v>16384</v>
      </c>
      <c r="Q21" s="1">
        <f t="shared" ref="Q21:Q23" si="55">ROUND(G21/$AA$2,0)*$AA$2</f>
        <v>409.6</v>
      </c>
      <c r="R21" s="1">
        <f t="shared" ref="R21:R23" si="56">ROUND((1/H21*1000000-2*Q21)/$AA$2,0)*$AA$2</f>
        <v>3727.36</v>
      </c>
      <c r="S21" s="1">
        <f t="shared" ref="S21:S23" si="57">1/((Q21*2+R21)*0.000001)</f>
        <v>219.94650900900902</v>
      </c>
      <c r="T21">
        <f t="shared" ref="T21:T23" si="58">FLOOR(I21/((Q21*2+R21)*0.001),1)</f>
        <v>44</v>
      </c>
      <c r="U21" s="1">
        <f t="shared" ref="U21:U23" si="59">T21*(2*Q21+R21)*0.001</f>
        <v>200.04864000000001</v>
      </c>
      <c r="V21" s="1">
        <f t="shared" si="44"/>
        <v>196.32128</v>
      </c>
      <c r="W21" s="6">
        <f t="shared" ref="W21:W23" si="60">Q21*T21*F21</f>
        <v>18022.400000000001</v>
      </c>
      <c r="X21" s="32">
        <f t="shared" si="48"/>
        <v>0.10000000000000009</v>
      </c>
      <c r="Y21" s="20">
        <f t="shared" si="46"/>
        <v>0.6144000000000176</v>
      </c>
    </row>
    <row r="22" spans="1:27" x14ac:dyDescent="0.25">
      <c r="A22" s="31" t="s">
        <v>30</v>
      </c>
      <c r="B22" s="5">
        <f t="shared" si="42"/>
        <v>1</v>
      </c>
      <c r="C22">
        <v>400</v>
      </c>
      <c r="D22">
        <v>200</v>
      </c>
      <c r="E22" s="4">
        <v>200</v>
      </c>
      <c r="F22" s="5">
        <f>1/1.1*$AA$4</f>
        <v>0.90909090909090906</v>
      </c>
      <c r="G22" s="18">
        <v>400</v>
      </c>
      <c r="H22" s="17">
        <v>220</v>
      </c>
      <c r="I22" s="19">
        <v>201</v>
      </c>
      <c r="J22" s="1">
        <f t="shared" si="49"/>
        <v>409.6</v>
      </c>
      <c r="K22" s="1">
        <f t="shared" si="50"/>
        <v>4177.92</v>
      </c>
      <c r="L22" s="1">
        <f t="shared" si="51"/>
        <v>200.11526639344262</v>
      </c>
      <c r="M22">
        <f t="shared" si="52"/>
        <v>40</v>
      </c>
      <c r="N22">
        <f t="shared" si="53"/>
        <v>199.88479999999998</v>
      </c>
      <c r="O22" s="1">
        <f t="shared" si="43"/>
        <v>195.70687999999998</v>
      </c>
      <c r="P22" s="6">
        <f t="shared" si="54"/>
        <v>16384</v>
      </c>
      <c r="Q22" s="1">
        <f t="shared" si="55"/>
        <v>409.6</v>
      </c>
      <c r="R22" s="1">
        <f t="shared" si="56"/>
        <v>3727.36</v>
      </c>
      <c r="S22" s="1">
        <f t="shared" si="57"/>
        <v>219.94650900900902</v>
      </c>
      <c r="T22">
        <f t="shared" si="58"/>
        <v>44</v>
      </c>
      <c r="U22" s="1">
        <f t="shared" si="59"/>
        <v>200.04864000000001</v>
      </c>
      <c r="V22" s="1">
        <f t="shared" si="44"/>
        <v>196.32128</v>
      </c>
      <c r="W22" s="6">
        <f t="shared" si="60"/>
        <v>16384</v>
      </c>
      <c r="X22" s="32">
        <f t="shared" si="48"/>
        <v>0</v>
      </c>
      <c r="Y22" s="20">
        <f t="shared" si="46"/>
        <v>0.6144000000000176</v>
      </c>
    </row>
    <row r="23" spans="1:27" x14ac:dyDescent="0.25">
      <c r="A23" s="31" t="s">
        <v>28</v>
      </c>
      <c r="B23" s="5">
        <f t="shared" si="42"/>
        <v>1</v>
      </c>
      <c r="C23">
        <v>400</v>
      </c>
      <c r="D23">
        <v>200</v>
      </c>
      <c r="E23" s="4">
        <v>200</v>
      </c>
      <c r="F23" s="5">
        <f t="shared" si="47"/>
        <v>1</v>
      </c>
      <c r="G23" s="17">
        <v>360</v>
      </c>
      <c r="H23" s="17">
        <v>220</v>
      </c>
      <c r="I23" s="19">
        <v>201</v>
      </c>
      <c r="J23" s="1">
        <f t="shared" si="49"/>
        <v>409.6</v>
      </c>
      <c r="K23" s="1">
        <f t="shared" si="50"/>
        <v>4177.92</v>
      </c>
      <c r="L23" s="1">
        <f t="shared" si="51"/>
        <v>200.11526639344262</v>
      </c>
      <c r="M23">
        <f t="shared" si="52"/>
        <v>40</v>
      </c>
      <c r="N23">
        <f t="shared" si="53"/>
        <v>199.88479999999998</v>
      </c>
      <c r="O23" s="1">
        <f t="shared" si="43"/>
        <v>195.70687999999998</v>
      </c>
      <c r="P23" s="6">
        <f t="shared" si="54"/>
        <v>16384</v>
      </c>
      <c r="Q23" s="1">
        <f t="shared" si="55"/>
        <v>368.64</v>
      </c>
      <c r="R23" s="1">
        <f t="shared" si="56"/>
        <v>3809.28</v>
      </c>
      <c r="S23" s="1">
        <f t="shared" si="57"/>
        <v>219.94650900900902</v>
      </c>
      <c r="T23">
        <f t="shared" si="58"/>
        <v>44</v>
      </c>
      <c r="U23" s="1">
        <f t="shared" si="59"/>
        <v>200.04864000000001</v>
      </c>
      <c r="V23" s="1">
        <f t="shared" si="44"/>
        <v>196.23936</v>
      </c>
      <c r="W23" s="6">
        <f t="shared" si="60"/>
        <v>16220.16</v>
      </c>
      <c r="X23" s="32">
        <f>ABS(P23-W23)/P23</f>
        <v>1.0000000000000009E-2</v>
      </c>
      <c r="Y23" s="20">
        <f t="shared" si="46"/>
        <v>0.53248000000002094</v>
      </c>
    </row>
    <row r="24" spans="1:27" x14ac:dyDescent="0.25">
      <c r="B24" s="21"/>
      <c r="C24" s="2"/>
      <c r="D24" s="2"/>
      <c r="E24" s="22"/>
      <c r="F24" s="23"/>
      <c r="G24" s="24"/>
      <c r="H24" s="24"/>
      <c r="I24" s="25"/>
      <c r="J24" s="26"/>
      <c r="K24" s="26"/>
      <c r="L24" s="26"/>
      <c r="M24" s="2"/>
      <c r="N24" s="2"/>
      <c r="O24" s="26"/>
      <c r="P24" s="27"/>
      <c r="Q24" s="26"/>
      <c r="R24" s="26"/>
      <c r="S24" s="26"/>
      <c r="T24" s="2"/>
      <c r="U24" s="26"/>
      <c r="V24" s="26"/>
      <c r="W24" s="27"/>
      <c r="X24" s="28"/>
      <c r="Y24" s="29"/>
    </row>
    <row r="25" spans="1:27" x14ac:dyDescent="0.25">
      <c r="A25" s="48" t="s">
        <v>25</v>
      </c>
      <c r="B25" s="51" t="s">
        <v>0</v>
      </c>
      <c r="C25" s="52"/>
      <c r="D25" s="52"/>
      <c r="E25" s="52"/>
      <c r="F25" s="53" t="s">
        <v>1</v>
      </c>
      <c r="G25" s="54"/>
      <c r="H25" s="54"/>
      <c r="I25" s="55"/>
      <c r="J25" s="52" t="s">
        <v>0</v>
      </c>
      <c r="K25" s="52"/>
      <c r="L25" s="52"/>
      <c r="M25" s="52"/>
      <c r="N25" s="52"/>
      <c r="O25" s="52"/>
      <c r="P25" s="56"/>
      <c r="Q25" s="54" t="s">
        <v>1</v>
      </c>
      <c r="R25" s="54"/>
      <c r="S25" s="54"/>
      <c r="T25" s="54"/>
      <c r="U25" s="54"/>
      <c r="V25" s="54"/>
      <c r="W25" s="55"/>
      <c r="X25" s="48" t="s">
        <v>15</v>
      </c>
      <c r="Y25" s="48" t="s">
        <v>19</v>
      </c>
      <c r="Z25" s="8" t="s">
        <v>2</v>
      </c>
      <c r="AA25" s="8">
        <v>24414.0625</v>
      </c>
    </row>
    <row r="26" spans="1:27" x14ac:dyDescent="0.25">
      <c r="A26" s="48"/>
      <c r="B26" s="9" t="s">
        <v>14</v>
      </c>
      <c r="C26" s="13" t="s">
        <v>4</v>
      </c>
      <c r="D26" s="13" t="s">
        <v>5</v>
      </c>
      <c r="E26" s="13" t="s">
        <v>6</v>
      </c>
      <c r="F26" s="10" t="s">
        <v>14</v>
      </c>
      <c r="G26" s="14" t="s">
        <v>4</v>
      </c>
      <c r="H26" s="14" t="s">
        <v>5</v>
      </c>
      <c r="I26" s="11" t="s">
        <v>6</v>
      </c>
      <c r="J26" s="13" t="s">
        <v>4</v>
      </c>
      <c r="K26" s="13" t="s">
        <v>7</v>
      </c>
      <c r="L26" s="13" t="s">
        <v>5</v>
      </c>
      <c r="M26" s="13" t="s">
        <v>8</v>
      </c>
      <c r="N26" s="13" t="s">
        <v>6</v>
      </c>
      <c r="O26" s="13" t="s">
        <v>16</v>
      </c>
      <c r="P26" s="12" t="s">
        <v>9</v>
      </c>
      <c r="Q26" s="14" t="s">
        <v>4</v>
      </c>
      <c r="R26" s="14" t="s">
        <v>7</v>
      </c>
      <c r="S26" s="14" t="s">
        <v>5</v>
      </c>
      <c r="T26" s="14" t="s">
        <v>8</v>
      </c>
      <c r="U26" s="14" t="s">
        <v>6</v>
      </c>
      <c r="V26" s="14" t="s">
        <v>16</v>
      </c>
      <c r="W26" s="11" t="s">
        <v>9</v>
      </c>
      <c r="X26" s="48"/>
      <c r="Y26" s="48"/>
      <c r="Z26" s="8" t="s">
        <v>10</v>
      </c>
      <c r="AA26" s="8">
        <f>1/AA25*1000000</f>
        <v>40.96</v>
      </c>
    </row>
    <row r="27" spans="1:27" x14ac:dyDescent="0.25">
      <c r="A27" s="30" t="s">
        <v>11</v>
      </c>
      <c r="B27" s="5">
        <f>1*$AA$4</f>
        <v>1</v>
      </c>
      <c r="C27">
        <v>280</v>
      </c>
      <c r="D27">
        <v>200</v>
      </c>
      <c r="E27" s="4">
        <v>200</v>
      </c>
      <c r="F27" s="5">
        <v>1.4</v>
      </c>
      <c r="G27">
        <v>280</v>
      </c>
      <c r="H27">
        <v>200</v>
      </c>
      <c r="I27" s="4">
        <v>200</v>
      </c>
      <c r="J27" s="1">
        <f t="shared" ref="J27:J32" si="61">ROUND(C27/$AA$2,0)*$AA$2</f>
        <v>286.72000000000003</v>
      </c>
      <c r="K27" s="1">
        <f t="shared" ref="K27:K32" si="62">ROUND((1/D27*1000000-2*J27)/$AA$2,0)*$AA$2</f>
        <v>4423.68</v>
      </c>
      <c r="L27" s="1">
        <f t="shared" ref="L27:L32" si="63">1/((J27*2+K27)*0.000001)</f>
        <v>200.1152663934426</v>
      </c>
      <c r="M27">
        <f t="shared" ref="M27:M32" si="64">FLOOR(E27/((J27*2+K27)*0.001),1)</f>
        <v>40</v>
      </c>
      <c r="N27">
        <f t="shared" ref="N27:N32" si="65">M27*(2*J27+K27)*0.001</f>
        <v>199.88480000000004</v>
      </c>
      <c r="O27" s="1">
        <f>N27-K27/1000</f>
        <v>195.46112000000005</v>
      </c>
      <c r="P27" s="6">
        <f t="shared" ref="P27:P32" si="66">J27*M27*B27</f>
        <v>11468.800000000001</v>
      </c>
      <c r="Q27" s="1">
        <f t="shared" ref="Q27:Q32" si="67">ROUND(G27/$AA$2,0)*$AA$2</f>
        <v>286.72000000000003</v>
      </c>
      <c r="R27" s="1">
        <f t="shared" ref="R27:R32" si="68">ROUND((1/H27*1000000-2*Q27)/$AA$2,0)*$AA$2</f>
        <v>4423.68</v>
      </c>
      <c r="S27" s="1">
        <f t="shared" ref="S27:S32" si="69">1/((Q27*2+R27)*0.000001)</f>
        <v>200.1152663934426</v>
      </c>
      <c r="T27">
        <f t="shared" ref="T27:T32" si="70">FLOOR(I27/((Q27*2+R27)*0.001),1)</f>
        <v>40</v>
      </c>
      <c r="U27" s="1">
        <f t="shared" ref="U27:U32" si="71">T27*(2*Q27+R27)*0.001</f>
        <v>199.88480000000004</v>
      </c>
      <c r="V27" s="1">
        <f>U27-R27/1000</f>
        <v>195.46112000000005</v>
      </c>
      <c r="W27" s="6">
        <f t="shared" ref="W27:W32" si="72">Q27*T27*F27</f>
        <v>16056.32</v>
      </c>
      <c r="X27" s="32">
        <f>ABS(P27-W27)/P27</f>
        <v>0.39999999999999986</v>
      </c>
      <c r="Y27" s="20">
        <f>ABS(O27-V27)</f>
        <v>0</v>
      </c>
    </row>
    <row r="28" spans="1:27" x14ac:dyDescent="0.25">
      <c r="A28" s="31" t="s">
        <v>28</v>
      </c>
      <c r="B28" s="5">
        <f t="shared" ref="B28:B35" si="73">1*$AA$4</f>
        <v>1</v>
      </c>
      <c r="C28">
        <v>280</v>
      </c>
      <c r="D28">
        <v>200</v>
      </c>
      <c r="E28" s="4">
        <v>200</v>
      </c>
      <c r="F28" s="5">
        <v>1.4</v>
      </c>
      <c r="G28" s="17">
        <v>200</v>
      </c>
      <c r="H28" s="16">
        <v>200</v>
      </c>
      <c r="I28" s="4">
        <v>200</v>
      </c>
      <c r="J28" s="1">
        <f t="shared" si="61"/>
        <v>286.72000000000003</v>
      </c>
      <c r="K28" s="1">
        <f t="shared" si="62"/>
        <v>4423.68</v>
      </c>
      <c r="L28" s="1">
        <f t="shared" si="63"/>
        <v>200.1152663934426</v>
      </c>
      <c r="M28">
        <f t="shared" si="64"/>
        <v>40</v>
      </c>
      <c r="N28">
        <f t="shared" si="65"/>
        <v>199.88480000000004</v>
      </c>
      <c r="O28" s="1">
        <f t="shared" ref="O28:O35" si="74">N28-K28/1000</f>
        <v>195.46112000000005</v>
      </c>
      <c r="P28" s="6">
        <f t="shared" si="66"/>
        <v>11468.800000000001</v>
      </c>
      <c r="Q28" s="1">
        <f t="shared" si="67"/>
        <v>204.8</v>
      </c>
      <c r="R28" s="1">
        <f t="shared" si="68"/>
        <v>4587.5200000000004</v>
      </c>
      <c r="S28" s="1">
        <f t="shared" si="69"/>
        <v>200.1152663934426</v>
      </c>
      <c r="T28">
        <f t="shared" si="70"/>
        <v>40</v>
      </c>
      <c r="U28" s="1">
        <f t="shared" si="71"/>
        <v>199.88480000000004</v>
      </c>
      <c r="V28" s="1">
        <f t="shared" ref="V28:V35" si="75">U28-R28/1000</f>
        <v>195.29728000000003</v>
      </c>
      <c r="W28" s="6">
        <f t="shared" si="72"/>
        <v>11468.8</v>
      </c>
      <c r="X28" s="32">
        <f t="shared" ref="X28:X30" si="76">ABS(P28-W28)/P28</f>
        <v>1.586032892321652E-16</v>
      </c>
      <c r="Y28" s="20">
        <f t="shared" ref="Y28:Y35" si="77">ABS(O28-V28)</f>
        <v>0.16384000000002175</v>
      </c>
      <c r="Z28" s="3" t="s">
        <v>31</v>
      </c>
      <c r="AA28" s="3">
        <v>1</v>
      </c>
    </row>
    <row r="29" spans="1:27" x14ac:dyDescent="0.25">
      <c r="A29" s="31" t="s">
        <v>29</v>
      </c>
      <c r="B29" s="5">
        <f t="shared" si="73"/>
        <v>1</v>
      </c>
      <c r="C29">
        <v>280</v>
      </c>
      <c r="D29">
        <v>200</v>
      </c>
      <c r="E29" s="4">
        <v>200</v>
      </c>
      <c r="F29" s="5">
        <v>1.4</v>
      </c>
      <c r="G29" s="16">
        <v>280</v>
      </c>
      <c r="H29" s="17">
        <v>145</v>
      </c>
      <c r="I29" s="4">
        <v>200</v>
      </c>
      <c r="J29" s="1">
        <f t="shared" si="61"/>
        <v>286.72000000000003</v>
      </c>
      <c r="K29" s="1">
        <f t="shared" si="62"/>
        <v>4423.68</v>
      </c>
      <c r="L29" s="1">
        <f t="shared" si="63"/>
        <v>200.1152663934426</v>
      </c>
      <c r="M29">
        <f t="shared" si="64"/>
        <v>40</v>
      </c>
      <c r="N29">
        <f t="shared" si="65"/>
        <v>199.88480000000004</v>
      </c>
      <c r="O29" s="1">
        <f t="shared" si="74"/>
        <v>195.46112000000005</v>
      </c>
      <c r="P29" s="6">
        <f t="shared" si="66"/>
        <v>11468.800000000001</v>
      </c>
      <c r="Q29" s="1">
        <f t="shared" si="67"/>
        <v>286.72000000000003</v>
      </c>
      <c r="R29" s="1">
        <f t="shared" si="68"/>
        <v>6307.84</v>
      </c>
      <c r="S29" s="1">
        <f t="shared" si="69"/>
        <v>145.3218005952381</v>
      </c>
      <c r="T29">
        <f t="shared" si="70"/>
        <v>29</v>
      </c>
      <c r="U29" s="1">
        <f t="shared" si="71"/>
        <v>199.55712000000003</v>
      </c>
      <c r="V29" s="1">
        <f t="shared" si="75"/>
        <v>193.24928000000003</v>
      </c>
      <c r="W29" s="6">
        <f t="shared" si="72"/>
        <v>11640.832</v>
      </c>
      <c r="X29" s="32">
        <f t="shared" si="76"/>
        <v>1.4999999999999932E-2</v>
      </c>
      <c r="Y29" s="20">
        <f t="shared" si="77"/>
        <v>2.2118400000000236</v>
      </c>
      <c r="Z29" s="33" t="s">
        <v>32</v>
      </c>
      <c r="AA29" s="3"/>
    </row>
    <row r="30" spans="1:27" x14ac:dyDescent="0.25">
      <c r="A30" s="30" t="s">
        <v>12</v>
      </c>
      <c r="B30" s="5">
        <f t="shared" si="73"/>
        <v>1</v>
      </c>
      <c r="C30">
        <v>280</v>
      </c>
      <c r="D30">
        <v>200</v>
      </c>
      <c r="E30" s="4">
        <v>200</v>
      </c>
      <c r="F30" s="5">
        <f t="shared" ref="F30:F35" si="78">1*$AA$4</f>
        <v>1</v>
      </c>
      <c r="G30" s="17">
        <v>400</v>
      </c>
      <c r="H30" s="16">
        <v>200</v>
      </c>
      <c r="I30" s="4">
        <v>200</v>
      </c>
      <c r="J30" s="1">
        <f t="shared" si="61"/>
        <v>286.72000000000003</v>
      </c>
      <c r="K30" s="1">
        <f t="shared" si="62"/>
        <v>4423.68</v>
      </c>
      <c r="L30" s="1">
        <f t="shared" si="63"/>
        <v>200.1152663934426</v>
      </c>
      <c r="M30">
        <f t="shared" si="64"/>
        <v>40</v>
      </c>
      <c r="N30">
        <f t="shared" si="65"/>
        <v>199.88480000000004</v>
      </c>
      <c r="O30" s="1">
        <f t="shared" si="74"/>
        <v>195.46112000000005</v>
      </c>
      <c r="P30" s="6">
        <f t="shared" si="66"/>
        <v>11468.800000000001</v>
      </c>
      <c r="Q30" s="1">
        <f t="shared" si="67"/>
        <v>409.6</v>
      </c>
      <c r="R30" s="1">
        <f t="shared" si="68"/>
        <v>4177.92</v>
      </c>
      <c r="S30" s="1">
        <f t="shared" si="69"/>
        <v>200.11526639344262</v>
      </c>
      <c r="T30">
        <f t="shared" si="70"/>
        <v>40</v>
      </c>
      <c r="U30" s="1">
        <f t="shared" si="71"/>
        <v>199.88479999999998</v>
      </c>
      <c r="V30" s="1">
        <f t="shared" si="75"/>
        <v>195.70687999999998</v>
      </c>
      <c r="W30" s="6">
        <f t="shared" si="72"/>
        <v>16384</v>
      </c>
      <c r="X30" s="32">
        <f t="shared" si="76"/>
        <v>0.42857142857142844</v>
      </c>
      <c r="Y30" s="20">
        <f t="shared" si="77"/>
        <v>0.24575999999993314</v>
      </c>
      <c r="Z30" s="34" t="s">
        <v>34</v>
      </c>
    </row>
    <row r="31" spans="1:27" x14ac:dyDescent="0.25">
      <c r="A31" s="31" t="s">
        <v>30</v>
      </c>
      <c r="B31" s="5">
        <f t="shared" si="73"/>
        <v>1</v>
      </c>
      <c r="C31">
        <v>280</v>
      </c>
      <c r="D31">
        <v>200</v>
      </c>
      <c r="E31" s="4">
        <v>200</v>
      </c>
      <c r="F31" s="5">
        <f>1/1.4286*$AA$4</f>
        <v>0.69998600027999436</v>
      </c>
      <c r="G31" s="17">
        <v>400</v>
      </c>
      <c r="H31" s="16">
        <v>200</v>
      </c>
      <c r="I31" s="4">
        <v>200</v>
      </c>
      <c r="J31" s="1">
        <f t="shared" si="61"/>
        <v>286.72000000000003</v>
      </c>
      <c r="K31" s="1">
        <f t="shared" si="62"/>
        <v>4423.68</v>
      </c>
      <c r="L31" s="1">
        <f t="shared" si="63"/>
        <v>200.1152663934426</v>
      </c>
      <c r="M31">
        <f t="shared" si="64"/>
        <v>40</v>
      </c>
      <c r="N31">
        <f t="shared" si="65"/>
        <v>199.88480000000004</v>
      </c>
      <c r="O31" s="1">
        <f t="shared" si="74"/>
        <v>195.46112000000005</v>
      </c>
      <c r="P31" s="6">
        <f t="shared" si="66"/>
        <v>11468.800000000001</v>
      </c>
      <c r="Q31" s="1">
        <f t="shared" si="67"/>
        <v>409.6</v>
      </c>
      <c r="R31" s="1">
        <f t="shared" si="68"/>
        <v>4177.92</v>
      </c>
      <c r="S31" s="1">
        <f t="shared" si="69"/>
        <v>200.11526639344262</v>
      </c>
      <c r="T31">
        <f t="shared" si="70"/>
        <v>40</v>
      </c>
      <c r="U31" s="1">
        <f t="shared" si="71"/>
        <v>199.88479999999998</v>
      </c>
      <c r="V31" s="1">
        <f t="shared" si="75"/>
        <v>195.70687999999998</v>
      </c>
      <c r="W31" s="6">
        <f t="shared" si="72"/>
        <v>11468.570628587428</v>
      </c>
      <c r="X31" s="32">
        <f>ABS(P31-W31)/P31</f>
        <v>1.9999600008154973E-5</v>
      </c>
      <c r="Y31" s="20">
        <f t="shared" si="77"/>
        <v>0.24575999999993314</v>
      </c>
    </row>
    <row r="32" spans="1:27" x14ac:dyDescent="0.25">
      <c r="A32" s="31" t="s">
        <v>29</v>
      </c>
      <c r="B32" s="5">
        <f t="shared" si="73"/>
        <v>1</v>
      </c>
      <c r="C32">
        <v>280</v>
      </c>
      <c r="D32">
        <v>200</v>
      </c>
      <c r="E32" s="4">
        <v>200</v>
      </c>
      <c r="F32" s="5">
        <f t="shared" si="78"/>
        <v>1</v>
      </c>
      <c r="G32" s="17">
        <v>400</v>
      </c>
      <c r="H32" s="17">
        <v>140</v>
      </c>
      <c r="I32" s="4">
        <v>200</v>
      </c>
      <c r="J32" s="1">
        <f t="shared" si="61"/>
        <v>286.72000000000003</v>
      </c>
      <c r="K32" s="1">
        <f t="shared" si="62"/>
        <v>4423.68</v>
      </c>
      <c r="L32" s="1">
        <f t="shared" si="63"/>
        <v>200.1152663934426</v>
      </c>
      <c r="M32">
        <f t="shared" si="64"/>
        <v>40</v>
      </c>
      <c r="N32">
        <f t="shared" si="65"/>
        <v>199.88480000000004</v>
      </c>
      <c r="O32" s="1">
        <f t="shared" si="74"/>
        <v>195.46112000000005</v>
      </c>
      <c r="P32" s="6">
        <f t="shared" si="66"/>
        <v>11468.800000000001</v>
      </c>
      <c r="Q32" s="1">
        <f t="shared" si="67"/>
        <v>409.6</v>
      </c>
      <c r="R32" s="1">
        <f t="shared" si="68"/>
        <v>6307.84</v>
      </c>
      <c r="S32" s="1">
        <f t="shared" si="69"/>
        <v>140.31070402298852</v>
      </c>
      <c r="T32">
        <f t="shared" si="70"/>
        <v>28</v>
      </c>
      <c r="U32" s="1">
        <f t="shared" si="71"/>
        <v>199.55712</v>
      </c>
      <c r="V32" s="1">
        <f t="shared" si="75"/>
        <v>193.24928</v>
      </c>
      <c r="W32" s="6">
        <f t="shared" si="72"/>
        <v>11468.800000000001</v>
      </c>
      <c r="X32" s="32">
        <f t="shared" ref="X32:X34" si="79">ABS(P32-W32)/P32</f>
        <v>0</v>
      </c>
      <c r="Y32" s="20">
        <f t="shared" si="77"/>
        <v>2.211840000000052</v>
      </c>
    </row>
    <row r="33" spans="1:27" x14ac:dyDescent="0.25">
      <c r="A33" s="30" t="s">
        <v>13</v>
      </c>
      <c r="B33" s="5">
        <f t="shared" si="73"/>
        <v>1</v>
      </c>
      <c r="C33">
        <v>280</v>
      </c>
      <c r="D33">
        <v>200</v>
      </c>
      <c r="E33" s="4">
        <v>200</v>
      </c>
      <c r="F33" s="5">
        <f t="shared" si="78"/>
        <v>1</v>
      </c>
      <c r="G33" s="18">
        <v>280</v>
      </c>
      <c r="H33" s="17">
        <v>280</v>
      </c>
      <c r="I33" s="19">
        <v>200</v>
      </c>
      <c r="J33" s="1">
        <f t="shared" ref="J33:J35" si="80">ROUND(C33/$AA$2,0)*$AA$2</f>
        <v>286.72000000000003</v>
      </c>
      <c r="K33" s="1">
        <f t="shared" ref="K33:K35" si="81">ROUND((1/D33*1000000-2*J33)/$AA$2,0)*$AA$2</f>
        <v>4423.68</v>
      </c>
      <c r="L33" s="1">
        <f t="shared" ref="L33:L35" si="82">1/((J33*2+K33)*0.000001)</f>
        <v>200.1152663934426</v>
      </c>
      <c r="M33">
        <f t="shared" ref="M33:M35" si="83">FLOOR(E33/((J33*2+K33)*0.001),1)</f>
        <v>40</v>
      </c>
      <c r="N33">
        <f t="shared" ref="N33:N35" si="84">M33*(2*J33+K33)*0.001</f>
        <v>199.88480000000004</v>
      </c>
      <c r="O33" s="1">
        <f t="shared" si="74"/>
        <v>195.46112000000005</v>
      </c>
      <c r="P33" s="6">
        <f t="shared" ref="P33:P35" si="85">J33*M33*B33</f>
        <v>11468.800000000001</v>
      </c>
      <c r="Q33" s="1">
        <f t="shared" ref="Q33:Q35" si="86">ROUND(G33/$AA$2,0)*$AA$2</f>
        <v>286.72000000000003</v>
      </c>
      <c r="R33" s="1">
        <f t="shared" ref="R33:R35" si="87">ROUND((1/H33*1000000-2*Q33)/$AA$2,0)*$AA$2</f>
        <v>2990.08</v>
      </c>
      <c r="S33" s="1">
        <f t="shared" ref="S33:S35" si="88">1/((Q33*2+R33)*0.000001)</f>
        <v>280.62140804597703</v>
      </c>
      <c r="T33">
        <f t="shared" ref="T33:T35" si="89">FLOOR(I33/((Q33*2+R33)*0.001),1)</f>
        <v>56</v>
      </c>
      <c r="U33" s="1">
        <f t="shared" ref="U33:U35" si="90">T33*(2*Q33+R33)*0.001</f>
        <v>199.55712</v>
      </c>
      <c r="V33" s="1">
        <f t="shared" si="75"/>
        <v>196.56703999999999</v>
      </c>
      <c r="W33" s="6">
        <f t="shared" ref="W33:W35" si="91">Q33*T33*F33</f>
        <v>16056.320000000002</v>
      </c>
      <c r="X33" s="32">
        <f t="shared" si="79"/>
        <v>0.4</v>
      </c>
      <c r="Y33" s="20">
        <f t="shared" si="77"/>
        <v>1.1059199999999407</v>
      </c>
    </row>
    <row r="34" spans="1:27" x14ac:dyDescent="0.25">
      <c r="A34" s="31" t="s">
        <v>30</v>
      </c>
      <c r="B34" s="5">
        <f t="shared" si="73"/>
        <v>1</v>
      </c>
      <c r="C34">
        <v>280</v>
      </c>
      <c r="D34">
        <v>200</v>
      </c>
      <c r="E34" s="4">
        <v>200</v>
      </c>
      <c r="F34" s="5">
        <f>1/1.4*$AA$4</f>
        <v>0.7142857142857143</v>
      </c>
      <c r="G34" s="18">
        <v>280</v>
      </c>
      <c r="H34" s="17">
        <v>280</v>
      </c>
      <c r="I34" s="19">
        <v>200</v>
      </c>
      <c r="J34" s="1">
        <f t="shared" si="80"/>
        <v>286.72000000000003</v>
      </c>
      <c r="K34" s="1">
        <f t="shared" si="81"/>
        <v>4423.68</v>
      </c>
      <c r="L34" s="1">
        <f t="shared" si="82"/>
        <v>200.1152663934426</v>
      </c>
      <c r="M34">
        <f t="shared" si="83"/>
        <v>40</v>
      </c>
      <c r="N34">
        <f t="shared" si="84"/>
        <v>199.88480000000004</v>
      </c>
      <c r="O34" s="1">
        <f t="shared" si="74"/>
        <v>195.46112000000005</v>
      </c>
      <c r="P34" s="6">
        <f t="shared" si="85"/>
        <v>11468.800000000001</v>
      </c>
      <c r="Q34" s="1">
        <f t="shared" si="86"/>
        <v>286.72000000000003</v>
      </c>
      <c r="R34" s="1">
        <f t="shared" si="87"/>
        <v>2990.08</v>
      </c>
      <c r="S34" s="1">
        <f t="shared" si="88"/>
        <v>280.62140804597703</v>
      </c>
      <c r="T34">
        <f t="shared" si="89"/>
        <v>56</v>
      </c>
      <c r="U34" s="1">
        <f t="shared" si="90"/>
        <v>199.55712</v>
      </c>
      <c r="V34" s="1">
        <f t="shared" si="75"/>
        <v>196.56703999999999</v>
      </c>
      <c r="W34" s="6">
        <f t="shared" si="91"/>
        <v>11468.800000000001</v>
      </c>
      <c r="X34" s="32">
        <f t="shared" si="79"/>
        <v>0</v>
      </c>
      <c r="Y34" s="20">
        <f t="shared" si="77"/>
        <v>1.1059199999999407</v>
      </c>
    </row>
    <row r="35" spans="1:27" x14ac:dyDescent="0.25">
      <c r="A35" s="31" t="s">
        <v>28</v>
      </c>
      <c r="B35" s="5">
        <f t="shared" si="73"/>
        <v>1</v>
      </c>
      <c r="C35">
        <v>280</v>
      </c>
      <c r="D35">
        <v>200</v>
      </c>
      <c r="E35" s="4">
        <v>200</v>
      </c>
      <c r="F35" s="5">
        <f t="shared" si="78"/>
        <v>1</v>
      </c>
      <c r="G35" s="17">
        <v>200</v>
      </c>
      <c r="H35" s="17">
        <v>280</v>
      </c>
      <c r="I35" s="19">
        <v>200</v>
      </c>
      <c r="J35" s="1">
        <f t="shared" si="80"/>
        <v>286.72000000000003</v>
      </c>
      <c r="K35" s="1">
        <f t="shared" si="81"/>
        <v>4423.68</v>
      </c>
      <c r="L35" s="1">
        <f t="shared" si="82"/>
        <v>200.1152663934426</v>
      </c>
      <c r="M35">
        <f t="shared" si="83"/>
        <v>40</v>
      </c>
      <c r="N35">
        <f t="shared" si="84"/>
        <v>199.88480000000004</v>
      </c>
      <c r="O35" s="1">
        <f t="shared" si="74"/>
        <v>195.46112000000005</v>
      </c>
      <c r="P35" s="6">
        <f t="shared" si="85"/>
        <v>11468.800000000001</v>
      </c>
      <c r="Q35" s="1">
        <f t="shared" si="86"/>
        <v>204.8</v>
      </c>
      <c r="R35" s="1">
        <f t="shared" si="87"/>
        <v>3153.92</v>
      </c>
      <c r="S35" s="1">
        <f t="shared" si="88"/>
        <v>280.62140804597703</v>
      </c>
      <c r="T35">
        <f t="shared" si="89"/>
        <v>56</v>
      </c>
      <c r="U35" s="1">
        <f t="shared" si="90"/>
        <v>199.55712</v>
      </c>
      <c r="V35" s="1">
        <f t="shared" si="75"/>
        <v>196.4032</v>
      </c>
      <c r="W35" s="6">
        <f t="shared" si="91"/>
        <v>11468.800000000001</v>
      </c>
      <c r="X35" s="32">
        <f>ABS(P35-W35)/P35</f>
        <v>0</v>
      </c>
      <c r="Y35" s="20">
        <f t="shared" si="77"/>
        <v>0.9420799999999474</v>
      </c>
    </row>
    <row r="36" spans="1:27" x14ac:dyDescent="0.25">
      <c r="B36" s="21"/>
      <c r="C36" s="2"/>
      <c r="D36" s="2"/>
      <c r="E36" s="22"/>
      <c r="F36" s="23"/>
      <c r="G36" s="24"/>
      <c r="H36" s="24"/>
      <c r="I36" s="25"/>
      <c r="J36" s="26"/>
      <c r="K36" s="26"/>
      <c r="L36" s="26"/>
      <c r="M36" s="2"/>
      <c r="N36" s="2"/>
      <c r="O36" s="26"/>
      <c r="P36" s="27"/>
      <c r="Q36" s="26"/>
      <c r="R36" s="26"/>
      <c r="S36" s="26"/>
      <c r="T36" s="2"/>
      <c r="U36" s="26"/>
      <c r="V36" s="26"/>
      <c r="W36" s="27"/>
      <c r="X36" s="28"/>
      <c r="Y36" s="29"/>
    </row>
    <row r="37" spans="1:27" x14ac:dyDescent="0.25">
      <c r="B37" s="21"/>
      <c r="C37" s="2"/>
      <c r="D37" s="2"/>
      <c r="E37" s="22"/>
      <c r="F37" s="23"/>
      <c r="G37" s="24"/>
      <c r="H37" s="24"/>
      <c r="I37" s="25"/>
      <c r="J37" s="26"/>
      <c r="K37" s="26"/>
      <c r="L37" s="26"/>
      <c r="M37" s="2"/>
      <c r="N37" s="2"/>
      <c r="O37" s="26"/>
      <c r="P37" s="27"/>
      <c r="Q37" s="26"/>
      <c r="R37" s="26"/>
      <c r="S37" s="26"/>
      <c r="T37" s="2"/>
      <c r="U37" s="26"/>
      <c r="V37" s="26"/>
      <c r="W37" s="27"/>
      <c r="X37" s="28"/>
      <c r="Y37" s="29"/>
    </row>
    <row r="38" spans="1:27" ht="15" customHeight="1" x14ac:dyDescent="0.25">
      <c r="B38" s="21"/>
      <c r="C38" s="2"/>
      <c r="D38" s="2"/>
      <c r="E38" s="22"/>
      <c r="F38" s="23"/>
      <c r="G38" s="24"/>
      <c r="H38" s="24"/>
      <c r="I38" s="25"/>
      <c r="J38" s="26"/>
      <c r="K38" s="26"/>
      <c r="L38" s="26"/>
      <c r="M38" s="2"/>
      <c r="N38" s="2"/>
      <c r="O38" s="26"/>
      <c r="P38" s="27"/>
      <c r="Q38" s="26"/>
      <c r="R38" s="26"/>
      <c r="S38" s="26"/>
      <c r="T38" s="2"/>
      <c r="U38" s="26"/>
      <c r="V38" s="26"/>
      <c r="W38" s="27"/>
      <c r="X38" s="28"/>
      <c r="Y38" s="29"/>
      <c r="Z38" s="59" t="s">
        <v>26</v>
      </c>
      <c r="AA38" s="59"/>
    </row>
    <row r="39" spans="1:27" x14ac:dyDescent="0.25">
      <c r="A39" t="s">
        <v>17</v>
      </c>
      <c r="B39" s="5">
        <v>1</v>
      </c>
      <c r="C39">
        <v>200</v>
      </c>
      <c r="D39">
        <v>200</v>
      </c>
      <c r="E39" s="4">
        <v>200</v>
      </c>
      <c r="F39" s="18">
        <v>1.1000000000000001</v>
      </c>
      <c r="G39" s="18">
        <v>200</v>
      </c>
      <c r="H39" s="18">
        <v>200</v>
      </c>
      <c r="I39" s="19">
        <v>200</v>
      </c>
      <c r="J39" s="1">
        <f t="shared" ref="J39:J51" si="92">ROUND(C39/$AA$2,0)*$AA$2</f>
        <v>204.8</v>
      </c>
      <c r="K39" s="1">
        <f t="shared" ref="K39:K51" si="93">ROUND((1/D39*1000000-2*J39)/$AA$2,0)*$AA$2</f>
        <v>4587.5200000000004</v>
      </c>
      <c r="L39" s="1">
        <f t="shared" ref="L39:L51" si="94">1/((J39*2+K39)*0.000001)</f>
        <v>200.1152663934426</v>
      </c>
      <c r="M39">
        <f t="shared" ref="M39:M51" si="95">FLOOR(E39/((J39*2+K39)*0.001),1)</f>
        <v>40</v>
      </c>
      <c r="N39">
        <f t="shared" ref="N39:N51" si="96">M39*(2*J39+K39)*0.001</f>
        <v>199.88480000000004</v>
      </c>
      <c r="O39" s="1">
        <f t="shared" ref="O39:O51" si="97">N39-K39/1000</f>
        <v>195.29728000000003</v>
      </c>
      <c r="P39" s="6">
        <f t="shared" ref="P39:P51" si="98">J39*M39*B39</f>
        <v>8192</v>
      </c>
      <c r="Q39" s="1">
        <f t="shared" ref="Q39:Q51" si="99">ROUND(G39/$AA$2,0)*$AA$2</f>
        <v>204.8</v>
      </c>
      <c r="R39" s="1">
        <f t="shared" ref="R39:R51" si="100">ROUND((1/H39*1000000-2*Q39)/$AA$2,0)*$AA$2</f>
        <v>4587.5200000000004</v>
      </c>
      <c r="S39" s="1">
        <f t="shared" ref="S39:S51" si="101">1/((Q39*2+R39)*0.000001)</f>
        <v>200.1152663934426</v>
      </c>
      <c r="T39">
        <f t="shared" ref="T39:T51" si="102">FLOOR(I39/((Q39*2+R39)*0.001),1)</f>
        <v>40</v>
      </c>
      <c r="U39" s="1">
        <f t="shared" ref="U39:U51" si="103">T39*(2*Q39+R39)*0.001</f>
        <v>199.88480000000004</v>
      </c>
      <c r="V39" s="1">
        <f t="shared" ref="V39:V51" si="104">U39-R39/1000</f>
        <v>195.29728000000003</v>
      </c>
      <c r="W39" s="6">
        <f t="shared" ref="W39:W51" si="105">Q39*T39*F39</f>
        <v>9011.2000000000007</v>
      </c>
      <c r="X39" s="15">
        <f t="shared" ref="X39:X51" si="106">ABS(P39-W39)/P39</f>
        <v>0.10000000000000009</v>
      </c>
      <c r="Y39" s="20">
        <f t="shared" ref="Y39:Y51" si="107">ABS(O39-V39)</f>
        <v>0</v>
      </c>
      <c r="Z39" s="59"/>
      <c r="AA39" s="59"/>
    </row>
    <row r="40" spans="1:27" x14ac:dyDescent="0.25">
      <c r="A40" t="s">
        <v>17</v>
      </c>
      <c r="B40" s="5">
        <v>1</v>
      </c>
      <c r="C40">
        <v>200</v>
      </c>
      <c r="D40">
        <v>200</v>
      </c>
      <c r="E40" s="4">
        <v>200</v>
      </c>
      <c r="F40" s="18">
        <v>1.2</v>
      </c>
      <c r="G40" s="18">
        <v>200</v>
      </c>
      <c r="H40" s="18">
        <v>200</v>
      </c>
      <c r="I40" s="19">
        <v>200</v>
      </c>
      <c r="J40" s="1">
        <f t="shared" si="92"/>
        <v>204.8</v>
      </c>
      <c r="K40" s="1">
        <f t="shared" si="93"/>
        <v>4587.5200000000004</v>
      </c>
      <c r="L40" s="1">
        <f t="shared" si="94"/>
        <v>200.1152663934426</v>
      </c>
      <c r="M40">
        <f t="shared" si="95"/>
        <v>40</v>
      </c>
      <c r="N40">
        <f t="shared" si="96"/>
        <v>199.88480000000004</v>
      </c>
      <c r="O40" s="1">
        <f t="shared" si="97"/>
        <v>195.29728000000003</v>
      </c>
      <c r="P40" s="6">
        <f t="shared" si="98"/>
        <v>8192</v>
      </c>
      <c r="Q40" s="1">
        <f t="shared" si="99"/>
        <v>204.8</v>
      </c>
      <c r="R40" s="1">
        <f t="shared" si="100"/>
        <v>4587.5200000000004</v>
      </c>
      <c r="S40" s="1">
        <f t="shared" si="101"/>
        <v>200.1152663934426</v>
      </c>
      <c r="T40">
        <f t="shared" si="102"/>
        <v>40</v>
      </c>
      <c r="U40" s="1">
        <f t="shared" si="103"/>
        <v>199.88480000000004</v>
      </c>
      <c r="V40" s="1">
        <f t="shared" si="104"/>
        <v>195.29728000000003</v>
      </c>
      <c r="W40" s="6">
        <f t="shared" si="105"/>
        <v>9830.4</v>
      </c>
      <c r="X40" s="15">
        <f t="shared" si="106"/>
        <v>0.19999999999999996</v>
      </c>
      <c r="Y40" s="20">
        <f t="shared" si="107"/>
        <v>0</v>
      </c>
      <c r="Z40" s="59"/>
      <c r="AA40" s="59"/>
    </row>
    <row r="41" spans="1:27" x14ac:dyDescent="0.25">
      <c r="A41" t="s">
        <v>17</v>
      </c>
      <c r="B41" s="5">
        <v>1</v>
      </c>
      <c r="C41">
        <v>200</v>
      </c>
      <c r="D41">
        <v>200</v>
      </c>
      <c r="E41" s="4">
        <v>200</v>
      </c>
      <c r="F41" s="18">
        <v>1.4</v>
      </c>
      <c r="G41" s="18">
        <v>200</v>
      </c>
      <c r="H41" s="18">
        <v>200</v>
      </c>
      <c r="I41" s="19">
        <v>200</v>
      </c>
      <c r="J41" s="1">
        <f t="shared" si="92"/>
        <v>204.8</v>
      </c>
      <c r="K41" s="1">
        <f t="shared" si="93"/>
        <v>4587.5200000000004</v>
      </c>
      <c r="L41" s="1">
        <f t="shared" si="94"/>
        <v>200.1152663934426</v>
      </c>
      <c r="M41">
        <f t="shared" si="95"/>
        <v>40</v>
      </c>
      <c r="N41">
        <f t="shared" si="96"/>
        <v>199.88480000000004</v>
      </c>
      <c r="O41" s="1">
        <f t="shared" si="97"/>
        <v>195.29728000000003</v>
      </c>
      <c r="P41" s="6">
        <f t="shared" si="98"/>
        <v>8192</v>
      </c>
      <c r="Q41" s="1">
        <f t="shared" si="99"/>
        <v>204.8</v>
      </c>
      <c r="R41" s="1">
        <f t="shared" si="100"/>
        <v>4587.5200000000004</v>
      </c>
      <c r="S41" s="1">
        <f t="shared" si="101"/>
        <v>200.1152663934426</v>
      </c>
      <c r="T41">
        <f t="shared" si="102"/>
        <v>40</v>
      </c>
      <c r="U41" s="1">
        <f t="shared" si="103"/>
        <v>199.88480000000004</v>
      </c>
      <c r="V41" s="1">
        <f t="shared" si="104"/>
        <v>195.29728000000003</v>
      </c>
      <c r="W41" s="6">
        <f t="shared" si="105"/>
        <v>11468.8</v>
      </c>
      <c r="X41" s="15">
        <f t="shared" si="106"/>
        <v>0.39999999999999991</v>
      </c>
      <c r="Y41" s="20">
        <f t="shared" si="107"/>
        <v>0</v>
      </c>
      <c r="Z41" s="59"/>
      <c r="AA41" s="59"/>
    </row>
    <row r="42" spans="1:27" x14ac:dyDescent="0.25">
      <c r="A42" t="s">
        <v>17</v>
      </c>
      <c r="B42" s="5">
        <v>1</v>
      </c>
      <c r="C42">
        <v>200</v>
      </c>
      <c r="D42">
        <v>200</v>
      </c>
      <c r="E42" s="4">
        <v>200</v>
      </c>
      <c r="F42" s="18">
        <v>1.6</v>
      </c>
      <c r="G42" s="18">
        <v>200</v>
      </c>
      <c r="H42" s="18">
        <v>200</v>
      </c>
      <c r="I42" s="19">
        <v>200</v>
      </c>
      <c r="J42" s="1">
        <f t="shared" si="92"/>
        <v>204.8</v>
      </c>
      <c r="K42" s="1">
        <f t="shared" si="93"/>
        <v>4587.5200000000004</v>
      </c>
      <c r="L42" s="1">
        <f t="shared" si="94"/>
        <v>200.1152663934426</v>
      </c>
      <c r="M42">
        <f t="shared" si="95"/>
        <v>40</v>
      </c>
      <c r="N42">
        <f t="shared" si="96"/>
        <v>199.88480000000004</v>
      </c>
      <c r="O42" s="1">
        <f t="shared" si="97"/>
        <v>195.29728000000003</v>
      </c>
      <c r="P42" s="6">
        <f t="shared" si="98"/>
        <v>8192</v>
      </c>
      <c r="Q42" s="1">
        <f t="shared" si="99"/>
        <v>204.8</v>
      </c>
      <c r="R42" s="1">
        <f t="shared" si="100"/>
        <v>4587.5200000000004</v>
      </c>
      <c r="S42" s="1">
        <f t="shared" si="101"/>
        <v>200.1152663934426</v>
      </c>
      <c r="T42">
        <f t="shared" si="102"/>
        <v>40</v>
      </c>
      <c r="U42" s="1">
        <f t="shared" si="103"/>
        <v>199.88480000000004</v>
      </c>
      <c r="V42" s="1">
        <f t="shared" si="104"/>
        <v>195.29728000000003</v>
      </c>
      <c r="W42" s="6">
        <f t="shared" si="105"/>
        <v>13107.2</v>
      </c>
      <c r="X42" s="15">
        <f t="shared" si="106"/>
        <v>0.60000000000000009</v>
      </c>
      <c r="Y42" s="20">
        <f t="shared" si="107"/>
        <v>0</v>
      </c>
      <c r="Z42" s="59"/>
      <c r="AA42" s="59"/>
    </row>
    <row r="43" spans="1:27" x14ac:dyDescent="0.25">
      <c r="A43" t="s">
        <v>12</v>
      </c>
      <c r="B43" s="5">
        <v>1</v>
      </c>
      <c r="C43">
        <v>200</v>
      </c>
      <c r="D43">
        <v>200</v>
      </c>
      <c r="E43" s="4">
        <v>200</v>
      </c>
      <c r="F43" s="18">
        <v>1</v>
      </c>
      <c r="G43" s="18">
        <v>240</v>
      </c>
      <c r="H43" s="18">
        <v>200</v>
      </c>
      <c r="I43" s="19">
        <v>200</v>
      </c>
      <c r="J43" s="1">
        <f t="shared" si="92"/>
        <v>204.8</v>
      </c>
      <c r="K43" s="1">
        <f t="shared" si="93"/>
        <v>4587.5200000000004</v>
      </c>
      <c r="L43" s="1">
        <f t="shared" si="94"/>
        <v>200.1152663934426</v>
      </c>
      <c r="M43">
        <f t="shared" si="95"/>
        <v>40</v>
      </c>
      <c r="N43">
        <f t="shared" si="96"/>
        <v>199.88480000000004</v>
      </c>
      <c r="O43" s="1">
        <f t="shared" si="97"/>
        <v>195.29728000000003</v>
      </c>
      <c r="P43" s="6">
        <f t="shared" si="98"/>
        <v>8192</v>
      </c>
      <c r="Q43" s="1">
        <f t="shared" si="99"/>
        <v>245.76</v>
      </c>
      <c r="R43" s="1">
        <f t="shared" si="100"/>
        <v>4505.6000000000004</v>
      </c>
      <c r="S43" s="1">
        <f t="shared" si="101"/>
        <v>200.1152663934426</v>
      </c>
      <c r="T43">
        <f t="shared" si="102"/>
        <v>40</v>
      </c>
      <c r="U43" s="1">
        <f t="shared" si="103"/>
        <v>199.88480000000004</v>
      </c>
      <c r="V43" s="1">
        <f t="shared" si="104"/>
        <v>195.37920000000005</v>
      </c>
      <c r="W43" s="6">
        <f t="shared" si="105"/>
        <v>9830.4</v>
      </c>
      <c r="X43" s="15">
        <f t="shared" si="106"/>
        <v>0.19999999999999996</v>
      </c>
      <c r="Y43" s="20">
        <f t="shared" si="107"/>
        <v>8.1920000000025084E-2</v>
      </c>
      <c r="Z43" s="59"/>
      <c r="AA43" s="59"/>
    </row>
    <row r="44" spans="1:27" x14ac:dyDescent="0.25">
      <c r="A44" t="s">
        <v>12</v>
      </c>
      <c r="B44" s="5">
        <v>1</v>
      </c>
      <c r="C44">
        <v>200</v>
      </c>
      <c r="D44">
        <v>200</v>
      </c>
      <c r="E44" s="4">
        <v>200</v>
      </c>
      <c r="F44" s="18">
        <v>1</v>
      </c>
      <c r="G44" s="18">
        <v>280</v>
      </c>
      <c r="H44" s="18">
        <v>200</v>
      </c>
      <c r="I44" s="19">
        <v>200</v>
      </c>
      <c r="J44" s="1">
        <f t="shared" si="92"/>
        <v>204.8</v>
      </c>
      <c r="K44" s="1">
        <f t="shared" si="93"/>
        <v>4587.5200000000004</v>
      </c>
      <c r="L44" s="1">
        <f t="shared" si="94"/>
        <v>200.1152663934426</v>
      </c>
      <c r="M44">
        <f t="shared" si="95"/>
        <v>40</v>
      </c>
      <c r="N44">
        <f t="shared" si="96"/>
        <v>199.88480000000004</v>
      </c>
      <c r="O44" s="1">
        <f t="shared" si="97"/>
        <v>195.29728000000003</v>
      </c>
      <c r="P44" s="6">
        <f t="shared" si="98"/>
        <v>8192</v>
      </c>
      <c r="Q44" s="1">
        <f t="shared" si="99"/>
        <v>286.72000000000003</v>
      </c>
      <c r="R44" s="1">
        <f t="shared" si="100"/>
        <v>4423.68</v>
      </c>
      <c r="S44" s="1">
        <f t="shared" si="101"/>
        <v>200.1152663934426</v>
      </c>
      <c r="T44">
        <f t="shared" si="102"/>
        <v>40</v>
      </c>
      <c r="U44" s="1">
        <f t="shared" si="103"/>
        <v>199.88480000000004</v>
      </c>
      <c r="V44" s="1">
        <f t="shared" si="104"/>
        <v>195.46112000000005</v>
      </c>
      <c r="W44" s="6">
        <f t="shared" si="105"/>
        <v>11468.800000000001</v>
      </c>
      <c r="X44" s="15">
        <f t="shared" si="106"/>
        <v>0.40000000000000013</v>
      </c>
      <c r="Y44" s="20">
        <f t="shared" si="107"/>
        <v>0.16384000000002175</v>
      </c>
      <c r="Z44" s="59"/>
      <c r="AA44" s="59"/>
    </row>
    <row r="45" spans="1:27" x14ac:dyDescent="0.25">
      <c r="A45" t="s">
        <v>12</v>
      </c>
      <c r="B45" s="5">
        <v>1</v>
      </c>
      <c r="C45">
        <v>200</v>
      </c>
      <c r="D45">
        <v>200</v>
      </c>
      <c r="E45" s="4">
        <v>200</v>
      </c>
      <c r="F45" s="18">
        <v>1</v>
      </c>
      <c r="G45" s="18">
        <v>320</v>
      </c>
      <c r="H45" s="18">
        <v>200</v>
      </c>
      <c r="I45" s="19">
        <v>200</v>
      </c>
      <c r="J45" s="1">
        <f t="shared" si="92"/>
        <v>204.8</v>
      </c>
      <c r="K45" s="1">
        <f t="shared" si="93"/>
        <v>4587.5200000000004</v>
      </c>
      <c r="L45" s="1">
        <f t="shared" si="94"/>
        <v>200.1152663934426</v>
      </c>
      <c r="M45">
        <f t="shared" si="95"/>
        <v>40</v>
      </c>
      <c r="N45">
        <f t="shared" si="96"/>
        <v>199.88480000000004</v>
      </c>
      <c r="O45" s="1">
        <f t="shared" si="97"/>
        <v>195.29728000000003</v>
      </c>
      <c r="P45" s="6">
        <f t="shared" si="98"/>
        <v>8192</v>
      </c>
      <c r="Q45" s="1">
        <f t="shared" si="99"/>
        <v>327.68</v>
      </c>
      <c r="R45" s="1">
        <f t="shared" si="100"/>
        <v>4341.76</v>
      </c>
      <c r="S45" s="1">
        <f t="shared" si="101"/>
        <v>200.11526639344262</v>
      </c>
      <c r="T45">
        <f t="shared" si="102"/>
        <v>40</v>
      </c>
      <c r="U45" s="1">
        <f t="shared" si="103"/>
        <v>199.88479999999998</v>
      </c>
      <c r="V45" s="1">
        <f t="shared" si="104"/>
        <v>195.54303999999999</v>
      </c>
      <c r="W45" s="6">
        <f t="shared" si="105"/>
        <v>13107.2</v>
      </c>
      <c r="X45" s="15">
        <f t="shared" si="106"/>
        <v>0.60000000000000009</v>
      </c>
      <c r="Y45" s="20">
        <f t="shared" si="107"/>
        <v>0.24575999999996156</v>
      </c>
      <c r="Z45" s="59"/>
      <c r="AA45" s="59"/>
    </row>
    <row r="46" spans="1:27" x14ac:dyDescent="0.25">
      <c r="A46" t="s">
        <v>18</v>
      </c>
      <c r="B46" s="5">
        <v>1</v>
      </c>
      <c r="C46">
        <v>200</v>
      </c>
      <c r="D46">
        <v>200</v>
      </c>
      <c r="E46" s="4">
        <v>200</v>
      </c>
      <c r="F46" s="18">
        <v>1.2</v>
      </c>
      <c r="G46" s="18">
        <v>167</v>
      </c>
      <c r="H46" s="18">
        <v>200</v>
      </c>
      <c r="I46" s="19">
        <v>200</v>
      </c>
      <c r="J46" s="1">
        <f t="shared" si="92"/>
        <v>204.8</v>
      </c>
      <c r="K46" s="1">
        <f t="shared" si="93"/>
        <v>4587.5200000000004</v>
      </c>
      <c r="L46" s="1">
        <f t="shared" si="94"/>
        <v>200.1152663934426</v>
      </c>
      <c r="M46">
        <f t="shared" si="95"/>
        <v>40</v>
      </c>
      <c r="N46">
        <f t="shared" si="96"/>
        <v>199.88480000000004</v>
      </c>
      <c r="O46" s="1">
        <f t="shared" si="97"/>
        <v>195.29728000000003</v>
      </c>
      <c r="P46" s="6">
        <f t="shared" si="98"/>
        <v>8192</v>
      </c>
      <c r="Q46" s="1">
        <f t="shared" si="99"/>
        <v>163.84</v>
      </c>
      <c r="R46" s="1">
        <f t="shared" si="100"/>
        <v>4669.4400000000005</v>
      </c>
      <c r="S46" s="1">
        <f t="shared" si="101"/>
        <v>200.1152663934426</v>
      </c>
      <c r="T46">
        <f t="shared" si="102"/>
        <v>40</v>
      </c>
      <c r="U46" s="1">
        <f t="shared" si="103"/>
        <v>199.88480000000004</v>
      </c>
      <c r="V46" s="1">
        <f t="shared" si="104"/>
        <v>195.21536000000003</v>
      </c>
      <c r="W46" s="6">
        <f t="shared" si="105"/>
        <v>7864.32</v>
      </c>
      <c r="X46" s="15">
        <f t="shared" si="106"/>
        <v>4.0000000000000036E-2</v>
      </c>
      <c r="Y46" s="20">
        <f t="shared" si="107"/>
        <v>8.1919999999996662E-2</v>
      </c>
    </row>
    <row r="47" spans="1:27" x14ac:dyDescent="0.25">
      <c r="A47" t="s">
        <v>18</v>
      </c>
      <c r="B47" s="5">
        <v>1</v>
      </c>
      <c r="C47">
        <v>200</v>
      </c>
      <c r="D47">
        <v>200</v>
      </c>
      <c r="E47" s="4">
        <v>200</v>
      </c>
      <c r="F47" s="18">
        <v>1.4</v>
      </c>
      <c r="G47" s="18">
        <v>167</v>
      </c>
      <c r="H47" s="18">
        <v>181</v>
      </c>
      <c r="I47" s="19">
        <v>200</v>
      </c>
      <c r="J47" s="1">
        <f t="shared" si="92"/>
        <v>204.8</v>
      </c>
      <c r="K47" s="1">
        <f t="shared" si="93"/>
        <v>4587.5200000000004</v>
      </c>
      <c r="L47" s="1">
        <f t="shared" si="94"/>
        <v>200.1152663934426</v>
      </c>
      <c r="M47">
        <f t="shared" si="95"/>
        <v>40</v>
      </c>
      <c r="N47">
        <f t="shared" si="96"/>
        <v>199.88480000000004</v>
      </c>
      <c r="O47" s="1">
        <f t="shared" si="97"/>
        <v>195.29728000000003</v>
      </c>
      <c r="P47" s="6">
        <f t="shared" si="98"/>
        <v>8192</v>
      </c>
      <c r="Q47" s="1">
        <f t="shared" si="99"/>
        <v>163.84</v>
      </c>
      <c r="R47" s="1">
        <f t="shared" si="100"/>
        <v>5201.92</v>
      </c>
      <c r="S47" s="1">
        <f t="shared" si="101"/>
        <v>180.84490740740742</v>
      </c>
      <c r="T47">
        <f t="shared" si="102"/>
        <v>36</v>
      </c>
      <c r="U47" s="1">
        <f t="shared" si="103"/>
        <v>199.06560000000002</v>
      </c>
      <c r="V47" s="1">
        <f t="shared" si="104"/>
        <v>193.86368000000002</v>
      </c>
      <c r="W47" s="6">
        <f t="shared" si="105"/>
        <v>8257.5360000000001</v>
      </c>
      <c r="X47" s="15">
        <f t="shared" si="106"/>
        <v>8.0000000000000071E-3</v>
      </c>
      <c r="Y47" s="20">
        <f t="shared" si="107"/>
        <v>1.4336000000000126</v>
      </c>
    </row>
    <row r="48" spans="1:27" x14ac:dyDescent="0.25">
      <c r="A48" t="s">
        <v>18</v>
      </c>
      <c r="B48" s="5">
        <v>1</v>
      </c>
      <c r="C48">
        <v>200</v>
      </c>
      <c r="D48">
        <v>200</v>
      </c>
      <c r="E48" s="4">
        <v>200</v>
      </c>
      <c r="F48" s="18">
        <v>1.6</v>
      </c>
      <c r="G48" s="18">
        <f>200/1.6</f>
        <v>125</v>
      </c>
      <c r="H48" s="18">
        <v>200</v>
      </c>
      <c r="I48" s="19">
        <v>200</v>
      </c>
      <c r="J48" s="1">
        <f t="shared" si="92"/>
        <v>204.8</v>
      </c>
      <c r="K48" s="1">
        <f t="shared" si="93"/>
        <v>4587.5200000000004</v>
      </c>
      <c r="L48" s="1">
        <f t="shared" si="94"/>
        <v>200.1152663934426</v>
      </c>
      <c r="M48">
        <f t="shared" si="95"/>
        <v>40</v>
      </c>
      <c r="N48">
        <f t="shared" si="96"/>
        <v>199.88480000000004</v>
      </c>
      <c r="O48" s="1">
        <f t="shared" si="97"/>
        <v>195.29728000000003</v>
      </c>
      <c r="P48" s="6">
        <f t="shared" si="98"/>
        <v>8192</v>
      </c>
      <c r="Q48" s="1">
        <f t="shared" si="99"/>
        <v>122.88</v>
      </c>
      <c r="R48" s="1">
        <f t="shared" si="100"/>
        <v>4751.3599999999997</v>
      </c>
      <c r="S48" s="1">
        <f t="shared" si="101"/>
        <v>200.11526639344262</v>
      </c>
      <c r="T48">
        <f t="shared" si="102"/>
        <v>40</v>
      </c>
      <c r="U48" s="1">
        <f t="shared" si="103"/>
        <v>199.88479999999998</v>
      </c>
      <c r="V48" s="1">
        <f t="shared" si="104"/>
        <v>195.13343999999998</v>
      </c>
      <c r="W48" s="6">
        <f t="shared" si="105"/>
        <v>7864.32</v>
      </c>
      <c r="X48" s="15">
        <f t="shared" si="106"/>
        <v>4.0000000000000036E-2</v>
      </c>
      <c r="Y48" s="20">
        <f t="shared" si="107"/>
        <v>0.16384000000005017</v>
      </c>
    </row>
    <row r="49" spans="1:28" x14ac:dyDescent="0.25">
      <c r="A49" t="s">
        <v>18</v>
      </c>
      <c r="B49" s="5">
        <v>1</v>
      </c>
      <c r="C49">
        <v>200</v>
      </c>
      <c r="D49">
        <v>200</v>
      </c>
      <c r="E49" s="4">
        <v>200</v>
      </c>
      <c r="F49" s="18">
        <v>0.83299999999999996</v>
      </c>
      <c r="G49" s="18">
        <v>240</v>
      </c>
      <c r="H49" s="18">
        <v>200</v>
      </c>
      <c r="I49" s="19">
        <v>200</v>
      </c>
      <c r="J49" s="1">
        <f t="shared" si="92"/>
        <v>204.8</v>
      </c>
      <c r="K49" s="1">
        <f t="shared" si="93"/>
        <v>4587.5200000000004</v>
      </c>
      <c r="L49" s="1">
        <f t="shared" si="94"/>
        <v>200.1152663934426</v>
      </c>
      <c r="M49">
        <f t="shared" si="95"/>
        <v>40</v>
      </c>
      <c r="N49">
        <f t="shared" si="96"/>
        <v>199.88480000000004</v>
      </c>
      <c r="O49" s="1">
        <f t="shared" si="97"/>
        <v>195.29728000000003</v>
      </c>
      <c r="P49" s="6">
        <f t="shared" si="98"/>
        <v>8192</v>
      </c>
      <c r="Q49" s="1">
        <f t="shared" si="99"/>
        <v>245.76</v>
      </c>
      <c r="R49" s="1">
        <f t="shared" si="100"/>
        <v>4505.6000000000004</v>
      </c>
      <c r="S49" s="1">
        <f t="shared" si="101"/>
        <v>200.1152663934426</v>
      </c>
      <c r="T49">
        <f t="shared" si="102"/>
        <v>40</v>
      </c>
      <c r="U49" s="1">
        <f t="shared" si="103"/>
        <v>199.88480000000004</v>
      </c>
      <c r="V49" s="1">
        <f t="shared" si="104"/>
        <v>195.37920000000005</v>
      </c>
      <c r="W49" s="6">
        <f t="shared" si="105"/>
        <v>8188.7231999999995</v>
      </c>
      <c r="X49" s="15">
        <f t="shared" si="106"/>
        <v>4.0000000000006697E-4</v>
      </c>
      <c r="Y49" s="20">
        <f t="shared" si="107"/>
        <v>8.1920000000025084E-2</v>
      </c>
    </row>
    <row r="50" spans="1:28" x14ac:dyDescent="0.25">
      <c r="A50" t="s">
        <v>18</v>
      </c>
      <c r="B50" s="5">
        <v>1</v>
      </c>
      <c r="C50">
        <v>200</v>
      </c>
      <c r="D50">
        <v>200</v>
      </c>
      <c r="E50" s="4">
        <v>200</v>
      </c>
      <c r="F50" s="18">
        <v>0.71399999999999997</v>
      </c>
      <c r="G50" s="18">
        <v>280</v>
      </c>
      <c r="H50" s="18">
        <v>200</v>
      </c>
      <c r="I50" s="19">
        <v>200</v>
      </c>
      <c r="J50" s="1">
        <f t="shared" si="92"/>
        <v>204.8</v>
      </c>
      <c r="K50" s="1">
        <f t="shared" si="93"/>
        <v>4587.5200000000004</v>
      </c>
      <c r="L50" s="1">
        <f t="shared" si="94"/>
        <v>200.1152663934426</v>
      </c>
      <c r="M50">
        <f t="shared" si="95"/>
        <v>40</v>
      </c>
      <c r="N50">
        <f t="shared" si="96"/>
        <v>199.88480000000004</v>
      </c>
      <c r="O50" s="1">
        <f t="shared" si="97"/>
        <v>195.29728000000003</v>
      </c>
      <c r="P50" s="6">
        <f t="shared" si="98"/>
        <v>8192</v>
      </c>
      <c r="Q50" s="1">
        <f t="shared" si="99"/>
        <v>286.72000000000003</v>
      </c>
      <c r="R50" s="1">
        <f t="shared" si="100"/>
        <v>4423.68</v>
      </c>
      <c r="S50" s="1">
        <f t="shared" si="101"/>
        <v>200.1152663934426</v>
      </c>
      <c r="T50">
        <f t="shared" si="102"/>
        <v>40</v>
      </c>
      <c r="U50" s="1">
        <f t="shared" si="103"/>
        <v>199.88480000000004</v>
      </c>
      <c r="V50" s="1">
        <f t="shared" si="104"/>
        <v>195.46112000000005</v>
      </c>
      <c r="W50" s="6">
        <f t="shared" si="105"/>
        <v>8188.7232000000004</v>
      </c>
      <c r="X50" s="15">
        <f t="shared" si="106"/>
        <v>3.9999999999995595E-4</v>
      </c>
      <c r="Y50" s="20">
        <f t="shared" si="107"/>
        <v>0.16384000000002175</v>
      </c>
    </row>
    <row r="51" spans="1:28" x14ac:dyDescent="0.25">
      <c r="A51" t="s">
        <v>18</v>
      </c>
      <c r="B51" s="5">
        <v>1</v>
      </c>
      <c r="C51">
        <v>200</v>
      </c>
      <c r="D51">
        <v>200</v>
      </c>
      <c r="E51" s="4">
        <v>200</v>
      </c>
      <c r="F51" s="18">
        <f>1/1.6</f>
        <v>0.625</v>
      </c>
      <c r="G51" s="18">
        <v>320</v>
      </c>
      <c r="H51" s="18">
        <v>200</v>
      </c>
      <c r="I51" s="19">
        <v>200</v>
      </c>
      <c r="J51" s="1">
        <f t="shared" si="92"/>
        <v>204.8</v>
      </c>
      <c r="K51" s="1">
        <f t="shared" si="93"/>
        <v>4587.5200000000004</v>
      </c>
      <c r="L51" s="1">
        <f t="shared" si="94"/>
        <v>200.1152663934426</v>
      </c>
      <c r="M51">
        <f t="shared" si="95"/>
        <v>40</v>
      </c>
      <c r="N51">
        <f t="shared" si="96"/>
        <v>199.88480000000004</v>
      </c>
      <c r="O51" s="1">
        <f t="shared" si="97"/>
        <v>195.29728000000003</v>
      </c>
      <c r="P51" s="6">
        <f t="shared" si="98"/>
        <v>8192</v>
      </c>
      <c r="Q51" s="1">
        <f t="shared" si="99"/>
        <v>327.68</v>
      </c>
      <c r="R51" s="1">
        <f t="shared" si="100"/>
        <v>4341.76</v>
      </c>
      <c r="S51" s="1">
        <f t="shared" si="101"/>
        <v>200.11526639344262</v>
      </c>
      <c r="T51">
        <f t="shared" si="102"/>
        <v>40</v>
      </c>
      <c r="U51" s="1">
        <f t="shared" si="103"/>
        <v>199.88479999999998</v>
      </c>
      <c r="V51" s="1">
        <f t="shared" si="104"/>
        <v>195.54303999999999</v>
      </c>
      <c r="W51" s="6">
        <f t="shared" si="105"/>
        <v>8192</v>
      </c>
      <c r="X51" s="15">
        <f t="shared" si="106"/>
        <v>0</v>
      </c>
      <c r="Y51" s="20">
        <f t="shared" si="107"/>
        <v>0.24575999999996156</v>
      </c>
    </row>
    <row r="52" spans="1:28" x14ac:dyDescent="0.25">
      <c r="B52" s="37"/>
      <c r="E52" s="37"/>
      <c r="F52" s="18"/>
      <c r="G52" s="18"/>
      <c r="H52" s="18"/>
      <c r="I52" s="38"/>
      <c r="J52" s="1"/>
      <c r="K52" s="1"/>
      <c r="L52" s="1"/>
      <c r="O52" s="1"/>
      <c r="P52" s="39"/>
      <c r="Q52" s="1"/>
      <c r="R52" s="1"/>
      <c r="S52" s="1"/>
      <c r="U52" s="1"/>
      <c r="V52" s="1"/>
      <c r="W52" s="39"/>
      <c r="X52" s="15"/>
      <c r="Y52" s="20"/>
    </row>
    <row r="53" spans="1:28" ht="15" customHeight="1" x14ac:dyDescent="0.25">
      <c r="A53" s="48" t="s">
        <v>25</v>
      </c>
      <c r="B53" s="51" t="s">
        <v>0</v>
      </c>
      <c r="C53" s="52"/>
      <c r="D53" s="52"/>
      <c r="E53" s="52"/>
      <c r="F53" s="53" t="s">
        <v>1</v>
      </c>
      <c r="G53" s="54"/>
      <c r="H53" s="54"/>
      <c r="I53" s="55"/>
      <c r="J53" s="52" t="s">
        <v>0</v>
      </c>
      <c r="K53" s="52"/>
      <c r="L53" s="52"/>
      <c r="M53" s="52"/>
      <c r="N53" s="52"/>
      <c r="O53" s="52"/>
      <c r="P53" s="56"/>
      <c r="Q53" s="54" t="s">
        <v>1</v>
      </c>
      <c r="R53" s="54"/>
      <c r="S53" s="54"/>
      <c r="T53" s="54"/>
      <c r="U53" s="54"/>
      <c r="V53" s="54"/>
      <c r="W53" s="55"/>
      <c r="X53" s="48" t="s">
        <v>15</v>
      </c>
      <c r="Y53" s="48" t="s">
        <v>41</v>
      </c>
      <c r="Z53" s="48" t="s">
        <v>19</v>
      </c>
      <c r="AA53" s="8" t="s">
        <v>2</v>
      </c>
      <c r="AB53" s="8">
        <v>24414.0625</v>
      </c>
    </row>
    <row r="54" spans="1:28" x14ac:dyDescent="0.25">
      <c r="A54" s="48"/>
      <c r="B54" s="9" t="s">
        <v>14</v>
      </c>
      <c r="C54" s="13" t="s">
        <v>4</v>
      </c>
      <c r="D54" s="13" t="s">
        <v>5</v>
      </c>
      <c r="E54" s="13" t="s">
        <v>6</v>
      </c>
      <c r="F54" s="10" t="s">
        <v>14</v>
      </c>
      <c r="G54" s="14" t="s">
        <v>4</v>
      </c>
      <c r="H54" s="14" t="s">
        <v>5</v>
      </c>
      <c r="I54" s="11" t="s">
        <v>6</v>
      </c>
      <c r="J54" s="13" t="s">
        <v>4</v>
      </c>
      <c r="K54" s="13" t="s">
        <v>7</v>
      </c>
      <c r="L54" s="13" t="s">
        <v>5</v>
      </c>
      <c r="M54" s="13" t="s">
        <v>8</v>
      </c>
      <c r="N54" s="13" t="s">
        <v>6</v>
      </c>
      <c r="O54" s="13" t="s">
        <v>16</v>
      </c>
      <c r="P54" s="12" t="s">
        <v>9</v>
      </c>
      <c r="Q54" s="14" t="s">
        <v>4</v>
      </c>
      <c r="R54" s="14" t="s">
        <v>7</v>
      </c>
      <c r="S54" s="14" t="s">
        <v>5</v>
      </c>
      <c r="T54" s="14" t="s">
        <v>8</v>
      </c>
      <c r="U54" s="14" t="s">
        <v>6</v>
      </c>
      <c r="V54" s="14" t="s">
        <v>16</v>
      </c>
      <c r="W54" s="11" t="s">
        <v>9</v>
      </c>
      <c r="X54" s="48"/>
      <c r="Y54" s="48"/>
      <c r="Z54" s="48"/>
      <c r="AA54" s="8" t="s">
        <v>10</v>
      </c>
      <c r="AB54" s="8">
        <f>1/AB53*1000000</f>
        <v>40.96</v>
      </c>
    </row>
    <row r="55" spans="1:28" x14ac:dyDescent="0.25">
      <c r="A55" s="30" t="s">
        <v>11</v>
      </c>
      <c r="B55" s="5">
        <f>1*$AB$4</f>
        <v>0</v>
      </c>
      <c r="C55">
        <v>200</v>
      </c>
      <c r="D55">
        <v>200</v>
      </c>
      <c r="E55" s="4">
        <v>200</v>
      </c>
      <c r="F55" s="35">
        <f>B55+10</f>
        <v>10</v>
      </c>
      <c r="G55">
        <v>200</v>
      </c>
      <c r="H55">
        <v>200</v>
      </c>
      <c r="I55" s="4">
        <v>200</v>
      </c>
      <c r="J55" s="1"/>
      <c r="K55" s="1"/>
      <c r="L55" s="1"/>
      <c r="O55" s="1"/>
      <c r="P55" s="6"/>
      <c r="Q55" s="1"/>
      <c r="R55" s="1"/>
      <c r="S55" s="1"/>
      <c r="U55" s="1"/>
      <c r="V55" s="1"/>
      <c r="W55" s="6"/>
      <c r="X55" s="32"/>
      <c r="Y55" s="32"/>
      <c r="Z55" s="20"/>
    </row>
    <row r="56" spans="1:28" x14ac:dyDescent="0.25">
      <c r="A56" s="31"/>
      <c r="B56" s="5">
        <f t="shared" ref="B56:B59" si="108">1*$AB$4</f>
        <v>0</v>
      </c>
      <c r="C56">
        <v>200</v>
      </c>
      <c r="D56">
        <v>200</v>
      </c>
      <c r="E56" s="4">
        <v>200</v>
      </c>
      <c r="F56" s="35">
        <f>B56+20</f>
        <v>20</v>
      </c>
      <c r="G56">
        <v>200</v>
      </c>
      <c r="H56">
        <v>200</v>
      </c>
      <c r="I56" s="4">
        <v>200</v>
      </c>
      <c r="J56" s="1"/>
      <c r="K56" s="1"/>
      <c r="L56" s="1"/>
      <c r="O56" s="1"/>
      <c r="P56" s="6"/>
      <c r="Q56" s="1"/>
      <c r="R56" s="1"/>
      <c r="S56" s="1"/>
      <c r="U56" s="1"/>
      <c r="V56" s="1"/>
      <c r="W56" s="6"/>
      <c r="X56" s="32"/>
      <c r="Y56" s="32"/>
      <c r="Z56" s="20"/>
      <c r="AA56" s="3" t="s">
        <v>31</v>
      </c>
      <c r="AB56" s="3">
        <v>1250</v>
      </c>
    </row>
    <row r="57" spans="1:28" x14ac:dyDescent="0.25">
      <c r="A57" s="31"/>
      <c r="B57" s="5">
        <f t="shared" si="108"/>
        <v>0</v>
      </c>
      <c r="C57">
        <v>200</v>
      </c>
      <c r="D57">
        <v>200</v>
      </c>
      <c r="E57" s="4">
        <v>200</v>
      </c>
      <c r="F57" s="35">
        <f>B57+30</f>
        <v>30</v>
      </c>
      <c r="G57">
        <v>200</v>
      </c>
      <c r="H57">
        <v>200</v>
      </c>
      <c r="I57" s="4">
        <v>200</v>
      </c>
      <c r="J57" s="1"/>
      <c r="K57" s="1"/>
      <c r="L57" s="1"/>
      <c r="O57" s="1"/>
      <c r="P57" s="6"/>
      <c r="Q57" s="1"/>
      <c r="R57" s="1"/>
      <c r="S57" s="1"/>
      <c r="U57" s="1"/>
      <c r="V57" s="1"/>
      <c r="W57" s="6"/>
      <c r="X57" s="32"/>
      <c r="Y57" s="32"/>
      <c r="Z57" s="20"/>
      <c r="AA57" s="33" t="s">
        <v>32</v>
      </c>
      <c r="AB57" s="3"/>
    </row>
    <row r="58" spans="1:28" x14ac:dyDescent="0.25">
      <c r="A58" s="30"/>
      <c r="B58" s="5">
        <f t="shared" si="108"/>
        <v>0</v>
      </c>
      <c r="C58">
        <v>200</v>
      </c>
      <c r="D58">
        <v>200</v>
      </c>
      <c r="E58" s="4">
        <v>200</v>
      </c>
      <c r="F58" s="5">
        <f>B58+40</f>
        <v>40</v>
      </c>
      <c r="G58">
        <v>200</v>
      </c>
      <c r="H58">
        <v>200</v>
      </c>
      <c r="I58" s="4">
        <v>200</v>
      </c>
      <c r="J58" s="1"/>
      <c r="K58" s="1"/>
      <c r="L58" s="1"/>
      <c r="O58" s="1"/>
      <c r="P58" s="6"/>
      <c r="Q58" s="1"/>
      <c r="R58" s="1"/>
      <c r="S58" s="1"/>
      <c r="U58" s="1"/>
      <c r="V58" s="1"/>
      <c r="W58" s="6"/>
      <c r="X58" s="32"/>
      <c r="Y58" s="32"/>
      <c r="Z58" s="20"/>
    </row>
    <row r="59" spans="1:28" x14ac:dyDescent="0.25">
      <c r="A59" s="31"/>
      <c r="B59" s="5">
        <f t="shared" si="108"/>
        <v>0</v>
      </c>
      <c r="C59">
        <v>200</v>
      </c>
      <c r="D59">
        <v>200</v>
      </c>
      <c r="E59" s="4">
        <v>200</v>
      </c>
      <c r="F59" s="35">
        <f>B59+50</f>
        <v>50</v>
      </c>
      <c r="G59">
        <v>200</v>
      </c>
      <c r="H59">
        <v>200</v>
      </c>
      <c r="I59" s="4">
        <v>200</v>
      </c>
      <c r="J59" s="1"/>
      <c r="K59" s="1"/>
      <c r="L59" s="1"/>
      <c r="O59" s="1"/>
      <c r="P59" s="6"/>
      <c r="Q59" s="1"/>
      <c r="R59" s="1"/>
      <c r="S59" s="1"/>
      <c r="U59" s="1"/>
      <c r="V59" s="1"/>
      <c r="W59" s="6"/>
      <c r="X59" s="32"/>
      <c r="Y59" s="32"/>
      <c r="Z59" s="20"/>
    </row>
    <row r="60" spans="1:28" x14ac:dyDescent="0.25">
      <c r="A60" s="30" t="s">
        <v>11</v>
      </c>
      <c r="B60" s="5">
        <f>1*$AB$4+750</f>
        <v>750</v>
      </c>
      <c r="C60">
        <v>200</v>
      </c>
      <c r="D60">
        <v>200</v>
      </c>
      <c r="E60" s="4">
        <v>200</v>
      </c>
      <c r="F60" s="35">
        <f>B60+10</f>
        <v>760</v>
      </c>
      <c r="G60">
        <v>200</v>
      </c>
      <c r="H60">
        <v>200</v>
      </c>
      <c r="I60" s="4">
        <v>200</v>
      </c>
      <c r="J60" s="1"/>
      <c r="K60" s="1"/>
      <c r="L60" s="1"/>
      <c r="O60" s="1"/>
      <c r="P60" s="6"/>
      <c r="Q60" s="1"/>
      <c r="R60" s="1"/>
      <c r="S60" s="1"/>
      <c r="U60" s="1"/>
      <c r="V60" s="1"/>
      <c r="W60" s="6"/>
      <c r="X60" s="32"/>
      <c r="Y60" s="32"/>
      <c r="Z60" s="20"/>
    </row>
    <row r="61" spans="1:28" x14ac:dyDescent="0.25">
      <c r="A61" s="31"/>
      <c r="B61" s="5">
        <f t="shared" ref="B61:B64" si="109">1*$AB$4+750</f>
        <v>750</v>
      </c>
      <c r="C61">
        <v>200</v>
      </c>
      <c r="D61">
        <v>200</v>
      </c>
      <c r="E61" s="4">
        <v>200</v>
      </c>
      <c r="F61" s="35">
        <f>B61+20</f>
        <v>770</v>
      </c>
      <c r="G61">
        <v>200</v>
      </c>
      <c r="H61">
        <v>200</v>
      </c>
      <c r="I61" s="4">
        <v>200</v>
      </c>
      <c r="J61" s="1"/>
      <c r="K61" s="1"/>
      <c r="L61" s="1"/>
      <c r="O61" s="1"/>
      <c r="P61" s="6"/>
      <c r="Q61" s="1"/>
      <c r="R61" s="1"/>
      <c r="S61" s="1"/>
      <c r="U61" s="1"/>
      <c r="V61" s="1"/>
      <c r="W61" s="6"/>
      <c r="X61" s="32"/>
      <c r="Y61" s="32"/>
      <c r="Z61" s="20"/>
    </row>
    <row r="62" spans="1:28" x14ac:dyDescent="0.25">
      <c r="A62" s="31"/>
      <c r="B62" s="5">
        <f t="shared" si="109"/>
        <v>750</v>
      </c>
      <c r="C62">
        <v>200</v>
      </c>
      <c r="D62">
        <v>200</v>
      </c>
      <c r="E62" s="4">
        <v>200</v>
      </c>
      <c r="F62" s="35">
        <f>B62+30</f>
        <v>780</v>
      </c>
      <c r="G62">
        <v>200</v>
      </c>
      <c r="H62">
        <v>200</v>
      </c>
      <c r="I62" s="4">
        <v>200</v>
      </c>
      <c r="J62" s="1"/>
      <c r="K62" s="1"/>
      <c r="L62" s="1"/>
      <c r="O62" s="1"/>
      <c r="P62" s="6"/>
      <c r="Q62" s="1"/>
      <c r="R62" s="1"/>
      <c r="S62" s="1"/>
      <c r="U62" s="1"/>
      <c r="V62" s="1"/>
      <c r="W62" s="6"/>
      <c r="X62" s="32"/>
      <c r="Y62" s="32"/>
      <c r="Z62" s="20"/>
    </row>
    <row r="63" spans="1:28" x14ac:dyDescent="0.25">
      <c r="A63" s="30"/>
      <c r="B63" s="5">
        <f t="shared" si="109"/>
        <v>750</v>
      </c>
      <c r="C63">
        <v>200</v>
      </c>
      <c r="D63">
        <v>200</v>
      </c>
      <c r="E63" s="4">
        <v>200</v>
      </c>
      <c r="F63" s="5">
        <f>B63+40</f>
        <v>790</v>
      </c>
      <c r="G63">
        <v>200</v>
      </c>
      <c r="H63">
        <v>200</v>
      </c>
      <c r="I63" s="4">
        <v>200</v>
      </c>
      <c r="J63" s="1"/>
      <c r="K63" s="1"/>
      <c r="L63" s="1"/>
      <c r="O63" s="1"/>
      <c r="P63" s="6"/>
      <c r="Q63" s="1"/>
      <c r="R63" s="1"/>
      <c r="S63" s="1"/>
      <c r="U63" s="1"/>
      <c r="V63" s="1"/>
      <c r="W63" s="6"/>
      <c r="X63" s="32"/>
      <c r="Y63" s="32"/>
      <c r="Z63" s="20"/>
    </row>
    <row r="64" spans="1:28" x14ac:dyDescent="0.25">
      <c r="A64" s="31"/>
      <c r="B64" s="5">
        <f t="shared" si="109"/>
        <v>750</v>
      </c>
      <c r="C64">
        <v>200</v>
      </c>
      <c r="D64">
        <v>200</v>
      </c>
      <c r="E64" s="4">
        <v>200</v>
      </c>
      <c r="F64" s="35">
        <f>B64+50</f>
        <v>800</v>
      </c>
      <c r="G64">
        <v>200</v>
      </c>
      <c r="H64">
        <v>200</v>
      </c>
      <c r="I64" s="4">
        <v>200</v>
      </c>
      <c r="J64" s="1"/>
      <c r="K64" s="1"/>
      <c r="L64" s="1"/>
      <c r="O64" s="1"/>
      <c r="P64" s="6"/>
      <c r="Q64" s="1"/>
      <c r="R64" s="1"/>
      <c r="S64" s="1"/>
      <c r="U64" s="1"/>
      <c r="V64" s="1"/>
      <c r="W64" s="6"/>
      <c r="X64" s="32"/>
      <c r="Y64" s="32"/>
      <c r="Z64" s="20"/>
    </row>
    <row r="65" spans="1:25" x14ac:dyDescent="0.25">
      <c r="B65" s="37"/>
      <c r="E65" s="37"/>
      <c r="F65" s="18"/>
      <c r="G65" s="18"/>
      <c r="H65" s="18"/>
      <c r="I65" s="38"/>
      <c r="J65" s="1"/>
      <c r="K65" s="1"/>
      <c r="L65" s="1"/>
      <c r="O65" s="1"/>
      <c r="P65" s="39"/>
      <c r="Q65" s="1"/>
      <c r="R65" s="1"/>
      <c r="S65" s="1"/>
      <c r="U65" s="1"/>
      <c r="V65" s="1"/>
      <c r="W65" s="39"/>
      <c r="X65" s="15"/>
      <c r="Y65" s="20"/>
    </row>
    <row r="66" spans="1:25" x14ac:dyDescent="0.25">
      <c r="A66" s="30" t="s">
        <v>11</v>
      </c>
      <c r="B66" s="5">
        <f>1*$AB$4</f>
        <v>0</v>
      </c>
      <c r="C66">
        <v>200</v>
      </c>
      <c r="D66">
        <v>200</v>
      </c>
      <c r="E66" s="4">
        <v>200</v>
      </c>
      <c r="F66" s="35">
        <f>B66+10</f>
        <v>10</v>
      </c>
      <c r="G66">
        <v>200</v>
      </c>
      <c r="H66">
        <v>200</v>
      </c>
      <c r="I66" s="4">
        <v>200</v>
      </c>
      <c r="J66" s="1"/>
      <c r="K66" s="1"/>
      <c r="L66" s="1"/>
      <c r="O66" s="1"/>
      <c r="P66" s="39"/>
      <c r="Q66" s="1"/>
      <c r="R66" s="1"/>
      <c r="S66" s="1"/>
      <c r="U66" s="1"/>
      <c r="V66" s="1"/>
      <c r="W66" s="39"/>
      <c r="X66" s="15"/>
      <c r="Y66" s="20"/>
    </row>
    <row r="67" spans="1:25" x14ac:dyDescent="0.25">
      <c r="A67" s="31"/>
      <c r="B67" s="5">
        <f t="shared" ref="B67:B70" si="110">1*$AB$4</f>
        <v>0</v>
      </c>
      <c r="C67">
        <v>200</v>
      </c>
      <c r="D67">
        <v>200</v>
      </c>
      <c r="E67" s="4">
        <v>200</v>
      </c>
      <c r="F67" s="35">
        <f>B67+25</f>
        <v>25</v>
      </c>
      <c r="G67">
        <v>200</v>
      </c>
      <c r="H67">
        <v>200</v>
      </c>
      <c r="I67" s="4">
        <v>200</v>
      </c>
      <c r="J67" s="1"/>
      <c r="K67" s="1"/>
      <c r="L67" s="1"/>
      <c r="O67" s="1"/>
      <c r="P67" s="39"/>
      <c r="Q67" s="1"/>
      <c r="R67" s="1"/>
      <c r="S67" s="1"/>
      <c r="U67" s="1"/>
      <c r="V67" s="1"/>
      <c r="W67" s="39"/>
      <c r="X67" s="15"/>
      <c r="Y67" s="20"/>
    </row>
    <row r="68" spans="1:25" x14ac:dyDescent="0.25">
      <c r="A68" s="31"/>
      <c r="B68" s="5">
        <f t="shared" si="110"/>
        <v>0</v>
      </c>
      <c r="C68">
        <v>200</v>
      </c>
      <c r="D68">
        <v>200</v>
      </c>
      <c r="E68" s="4">
        <v>200</v>
      </c>
      <c r="F68" s="35">
        <f>B68+50</f>
        <v>50</v>
      </c>
      <c r="G68">
        <v>200</v>
      </c>
      <c r="H68">
        <v>200</v>
      </c>
      <c r="I68" s="4">
        <v>200</v>
      </c>
      <c r="J68" s="1"/>
      <c r="K68" s="1"/>
      <c r="L68" s="1"/>
      <c r="O68" s="1"/>
      <c r="P68" s="39"/>
      <c r="Q68" s="1"/>
      <c r="R68" s="1"/>
      <c r="S68" s="1"/>
      <c r="U68" s="1"/>
      <c r="V68" s="1"/>
      <c r="W68" s="39"/>
      <c r="X68" s="15"/>
      <c r="Y68" s="20"/>
    </row>
    <row r="69" spans="1:25" x14ac:dyDescent="0.25">
      <c r="A69" s="30"/>
      <c r="B69" s="5">
        <f t="shared" si="110"/>
        <v>0</v>
      </c>
      <c r="C69">
        <v>200</v>
      </c>
      <c r="D69">
        <v>200</v>
      </c>
      <c r="E69" s="4">
        <v>200</v>
      </c>
      <c r="F69" s="5">
        <f>B69+75</f>
        <v>75</v>
      </c>
      <c r="G69">
        <v>200</v>
      </c>
      <c r="H69">
        <v>200</v>
      </c>
      <c r="I69" s="4">
        <v>200</v>
      </c>
      <c r="J69" s="1"/>
      <c r="K69" s="1"/>
      <c r="L69" s="1"/>
      <c r="O69" s="1"/>
      <c r="P69" s="39"/>
      <c r="Q69" s="1"/>
      <c r="R69" s="1"/>
      <c r="S69" s="1"/>
      <c r="U69" s="1"/>
      <c r="V69" s="1"/>
      <c r="W69" s="39"/>
      <c r="X69" s="15"/>
      <c r="Y69" s="20"/>
    </row>
    <row r="70" spans="1:25" x14ac:dyDescent="0.25">
      <c r="A70" s="31"/>
      <c r="B70" s="5">
        <f t="shared" si="110"/>
        <v>0</v>
      </c>
      <c r="C70">
        <v>200</v>
      </c>
      <c r="D70">
        <v>200</v>
      </c>
      <c r="E70" s="4">
        <v>200</v>
      </c>
      <c r="F70" s="35">
        <f>B70+100</f>
        <v>100</v>
      </c>
      <c r="G70">
        <v>200</v>
      </c>
      <c r="H70">
        <v>200</v>
      </c>
      <c r="I70" s="4">
        <v>200</v>
      </c>
      <c r="J70" s="1"/>
      <c r="K70" s="1"/>
      <c r="L70" s="1"/>
      <c r="O70" s="1"/>
      <c r="P70" s="39"/>
      <c r="Q70" s="1"/>
      <c r="R70" s="1"/>
      <c r="S70" s="1"/>
      <c r="U70" s="1"/>
      <c r="V70" s="1"/>
      <c r="W70" s="39"/>
      <c r="X70" s="15"/>
      <c r="Y70" s="20"/>
    </row>
    <row r="71" spans="1:25" x14ac:dyDescent="0.25">
      <c r="A71" s="30" t="s">
        <v>11</v>
      </c>
      <c r="B71" s="5">
        <f>1*$AB$4+750</f>
        <v>750</v>
      </c>
      <c r="C71">
        <v>200</v>
      </c>
      <c r="D71">
        <v>200</v>
      </c>
      <c r="E71" s="4">
        <v>200</v>
      </c>
      <c r="F71" s="35">
        <f>B71+10</f>
        <v>760</v>
      </c>
      <c r="G71">
        <v>200</v>
      </c>
      <c r="H71">
        <v>200</v>
      </c>
      <c r="I71" s="4">
        <v>200</v>
      </c>
      <c r="J71" s="1"/>
      <c r="K71" s="1"/>
      <c r="L71" s="1"/>
      <c r="O71" s="1"/>
      <c r="P71" s="39"/>
      <c r="Q71" s="1"/>
      <c r="R71" s="1"/>
      <c r="S71" s="1"/>
      <c r="U71" s="1"/>
      <c r="V71" s="1"/>
      <c r="W71" s="39"/>
      <c r="X71" s="15"/>
      <c r="Y71" s="20"/>
    </row>
    <row r="72" spans="1:25" x14ac:dyDescent="0.25">
      <c r="A72" s="31"/>
      <c r="B72" s="5">
        <f t="shared" ref="B72:B75" si="111">1*$AB$4+750</f>
        <v>750</v>
      </c>
      <c r="C72">
        <v>200</v>
      </c>
      <c r="D72">
        <v>200</v>
      </c>
      <c r="E72" s="4">
        <v>200</v>
      </c>
      <c r="F72" s="35">
        <f>B72+25</f>
        <v>775</v>
      </c>
      <c r="G72">
        <v>200</v>
      </c>
      <c r="H72">
        <v>200</v>
      </c>
      <c r="I72" s="4">
        <v>200</v>
      </c>
      <c r="J72" s="1"/>
      <c r="K72" s="1"/>
      <c r="L72" s="1"/>
      <c r="O72" s="1"/>
      <c r="P72" s="39"/>
      <c r="Q72" s="1"/>
      <c r="R72" s="1"/>
      <c r="S72" s="1"/>
      <c r="U72" s="1"/>
      <c r="V72" s="1"/>
      <c r="W72" s="39"/>
      <c r="X72" s="15"/>
      <c r="Y72" s="20"/>
    </row>
    <row r="73" spans="1:25" x14ac:dyDescent="0.25">
      <c r="A73" s="31"/>
      <c r="B73" s="5">
        <f t="shared" si="111"/>
        <v>750</v>
      </c>
      <c r="C73">
        <v>200</v>
      </c>
      <c r="D73">
        <v>200</v>
      </c>
      <c r="E73" s="4">
        <v>200</v>
      </c>
      <c r="F73" s="35">
        <f>B73+50</f>
        <v>800</v>
      </c>
      <c r="G73">
        <v>200</v>
      </c>
      <c r="H73">
        <v>200</v>
      </c>
      <c r="I73" s="4">
        <v>200</v>
      </c>
      <c r="J73" s="1"/>
      <c r="K73" s="1"/>
      <c r="L73" s="1"/>
      <c r="O73" s="1"/>
      <c r="P73" s="39"/>
      <c r="Q73" s="1"/>
      <c r="R73" s="1"/>
      <c r="S73" s="1"/>
      <c r="U73" s="1"/>
      <c r="V73" s="1"/>
      <c r="W73" s="39"/>
      <c r="X73" s="15"/>
      <c r="Y73" s="20"/>
    </row>
    <row r="74" spans="1:25" x14ac:dyDescent="0.25">
      <c r="A74" s="30"/>
      <c r="B74" s="5">
        <f t="shared" si="111"/>
        <v>750</v>
      </c>
      <c r="C74">
        <v>200</v>
      </c>
      <c r="D74">
        <v>200</v>
      </c>
      <c r="E74" s="4">
        <v>200</v>
      </c>
      <c r="F74" s="5">
        <f>B74+75</f>
        <v>825</v>
      </c>
      <c r="G74">
        <v>200</v>
      </c>
      <c r="H74">
        <v>200</v>
      </c>
      <c r="I74" s="4">
        <v>200</v>
      </c>
    </row>
    <row r="75" spans="1:25" x14ac:dyDescent="0.25">
      <c r="A75" s="31"/>
      <c r="B75" s="5">
        <f t="shared" si="111"/>
        <v>750</v>
      </c>
      <c r="C75">
        <v>200</v>
      </c>
      <c r="D75">
        <v>200</v>
      </c>
      <c r="E75" s="4">
        <v>200</v>
      </c>
      <c r="F75" s="35">
        <f>B75+100</f>
        <v>850</v>
      </c>
      <c r="G75">
        <v>200</v>
      </c>
      <c r="H75">
        <v>200</v>
      </c>
      <c r="I75" s="4">
        <v>200</v>
      </c>
    </row>
    <row r="76" spans="1:25" x14ac:dyDescent="0.25">
      <c r="A76" s="31"/>
      <c r="B76" s="37"/>
      <c r="E76" s="37"/>
      <c r="F76" s="40"/>
      <c r="I76" s="37"/>
    </row>
    <row r="77" spans="1:25" x14ac:dyDescent="0.25">
      <c r="A77" s="30" t="s">
        <v>27</v>
      </c>
    </row>
    <row r="78" spans="1:25" x14ac:dyDescent="0.25">
      <c r="A78" t="s">
        <v>17</v>
      </c>
      <c r="H78" t="s">
        <v>35</v>
      </c>
      <c r="J78" t="s">
        <v>36</v>
      </c>
      <c r="K78">
        <v>1.4</v>
      </c>
      <c r="L78">
        <v>1.1000000000000001</v>
      </c>
      <c r="M78">
        <v>400</v>
      </c>
      <c r="N78">
        <f t="shared" ref="N78:N81" si="112">M78*$K$78</f>
        <v>560</v>
      </c>
      <c r="O78">
        <f t="shared" ref="O78:O81" si="113">M78/$K$78</f>
        <v>285.71428571428572</v>
      </c>
    </row>
    <row r="79" spans="1:25" x14ac:dyDescent="0.25">
      <c r="A79" t="s">
        <v>17</v>
      </c>
      <c r="H79">
        <v>120</v>
      </c>
      <c r="I79">
        <f>H79*$K$78</f>
        <v>168</v>
      </c>
      <c r="J79">
        <f>H79/$K$78</f>
        <v>85.714285714285722</v>
      </c>
      <c r="L79">
        <v>1.2</v>
      </c>
      <c r="M79">
        <v>200</v>
      </c>
      <c r="N79">
        <f t="shared" si="112"/>
        <v>280</v>
      </c>
      <c r="O79">
        <f t="shared" si="113"/>
        <v>142.85714285714286</v>
      </c>
    </row>
    <row r="80" spans="1:25" x14ac:dyDescent="0.25">
      <c r="A80" t="s">
        <v>17</v>
      </c>
      <c r="H80">
        <v>160</v>
      </c>
      <c r="I80">
        <f t="shared" ref="I80:I91" si="114">H80*$K$78</f>
        <v>224</v>
      </c>
      <c r="J80">
        <f t="shared" ref="J80:J91" si="115">H80/$K$78</f>
        <v>114.28571428571429</v>
      </c>
      <c r="L80">
        <v>1.3</v>
      </c>
      <c r="M80">
        <v>160</v>
      </c>
      <c r="N80">
        <f t="shared" si="112"/>
        <v>224</v>
      </c>
      <c r="O80">
        <f t="shared" si="113"/>
        <v>114.28571428571429</v>
      </c>
    </row>
    <row r="81" spans="1:15" x14ac:dyDescent="0.25">
      <c r="A81" t="s">
        <v>12</v>
      </c>
      <c r="H81">
        <v>200</v>
      </c>
      <c r="I81">
        <f t="shared" si="114"/>
        <v>280</v>
      </c>
      <c r="J81">
        <f t="shared" si="115"/>
        <v>142.85714285714286</v>
      </c>
      <c r="L81">
        <v>1.4</v>
      </c>
      <c r="M81">
        <v>280</v>
      </c>
      <c r="N81">
        <f t="shared" si="112"/>
        <v>392</v>
      </c>
      <c r="O81">
        <f t="shared" si="113"/>
        <v>200</v>
      </c>
    </row>
    <row r="82" spans="1:15" x14ac:dyDescent="0.25">
      <c r="A82" t="s">
        <v>12</v>
      </c>
      <c r="H82">
        <v>240</v>
      </c>
      <c r="I82">
        <f t="shared" si="114"/>
        <v>336</v>
      </c>
      <c r="J82">
        <f t="shared" si="115"/>
        <v>171.42857142857144</v>
      </c>
    </row>
    <row r="83" spans="1:15" x14ac:dyDescent="0.25">
      <c r="A83" t="s">
        <v>12</v>
      </c>
      <c r="H83">
        <v>280</v>
      </c>
      <c r="I83">
        <f t="shared" si="114"/>
        <v>392</v>
      </c>
      <c r="J83">
        <f t="shared" si="115"/>
        <v>200</v>
      </c>
    </row>
    <row r="84" spans="1:15" x14ac:dyDescent="0.25">
      <c r="A84" t="s">
        <v>13</v>
      </c>
      <c r="H84">
        <v>320</v>
      </c>
      <c r="I84">
        <f t="shared" si="114"/>
        <v>448</v>
      </c>
      <c r="J84">
        <f t="shared" si="115"/>
        <v>228.57142857142858</v>
      </c>
    </row>
    <row r="85" spans="1:15" x14ac:dyDescent="0.25">
      <c r="A85" t="s">
        <v>13</v>
      </c>
      <c r="H85">
        <v>360</v>
      </c>
      <c r="I85">
        <f t="shared" si="114"/>
        <v>503.99999999999994</v>
      </c>
      <c r="J85">
        <f t="shared" si="115"/>
        <v>257.14285714285717</v>
      </c>
    </row>
    <row r="86" spans="1:15" x14ac:dyDescent="0.25">
      <c r="A86" t="s">
        <v>13</v>
      </c>
      <c r="H86">
        <v>400</v>
      </c>
      <c r="I86">
        <f t="shared" si="114"/>
        <v>560</v>
      </c>
      <c r="J86">
        <f t="shared" si="115"/>
        <v>285.71428571428572</v>
      </c>
    </row>
    <row r="87" spans="1:15" x14ac:dyDescent="0.25">
      <c r="A87" t="s">
        <v>18</v>
      </c>
      <c r="H87">
        <v>440</v>
      </c>
      <c r="I87">
        <f t="shared" si="114"/>
        <v>616</v>
      </c>
      <c r="J87">
        <f t="shared" si="115"/>
        <v>314.28571428571428</v>
      </c>
    </row>
    <row r="88" spans="1:15" x14ac:dyDescent="0.25">
      <c r="A88" t="s">
        <v>18</v>
      </c>
      <c r="H88">
        <v>480</v>
      </c>
      <c r="I88">
        <f t="shared" si="114"/>
        <v>672</v>
      </c>
      <c r="J88">
        <f t="shared" si="115"/>
        <v>342.85714285714289</v>
      </c>
    </row>
    <row r="89" spans="1:15" x14ac:dyDescent="0.25">
      <c r="A89" t="s">
        <v>18</v>
      </c>
      <c r="H89">
        <v>520</v>
      </c>
      <c r="I89">
        <f t="shared" si="114"/>
        <v>728</v>
      </c>
      <c r="J89">
        <f t="shared" si="115"/>
        <v>371.42857142857144</v>
      </c>
    </row>
    <row r="90" spans="1:15" x14ac:dyDescent="0.25">
      <c r="A90" t="s">
        <v>20</v>
      </c>
      <c r="H90">
        <v>560</v>
      </c>
      <c r="I90">
        <f t="shared" si="114"/>
        <v>784</v>
      </c>
      <c r="J90">
        <f t="shared" si="115"/>
        <v>400</v>
      </c>
    </row>
    <row r="91" spans="1:15" x14ac:dyDescent="0.25">
      <c r="A91" t="s">
        <v>20</v>
      </c>
      <c r="H91">
        <v>600</v>
      </c>
      <c r="I91">
        <f t="shared" si="114"/>
        <v>840</v>
      </c>
      <c r="J91">
        <f t="shared" si="115"/>
        <v>428.57142857142861</v>
      </c>
    </row>
    <row r="92" spans="1:15" x14ac:dyDescent="0.25">
      <c r="A92" t="s">
        <v>20</v>
      </c>
    </row>
    <row r="93" spans="1:15" x14ac:dyDescent="0.25">
      <c r="A93" t="s">
        <v>21</v>
      </c>
    </row>
    <row r="94" spans="1:15" x14ac:dyDescent="0.25">
      <c r="A94" t="s">
        <v>21</v>
      </c>
    </row>
    <row r="95" spans="1:15" x14ac:dyDescent="0.25">
      <c r="A95" t="s">
        <v>21</v>
      </c>
    </row>
    <row r="96" spans="1:15" x14ac:dyDescent="0.25">
      <c r="A96" t="s">
        <v>22</v>
      </c>
    </row>
    <row r="97" spans="1:1" x14ac:dyDescent="0.25">
      <c r="A97" t="s">
        <v>22</v>
      </c>
    </row>
    <row r="98" spans="1:1" x14ac:dyDescent="0.25">
      <c r="A98" t="s">
        <v>22</v>
      </c>
    </row>
    <row r="99" spans="1:1" x14ac:dyDescent="0.25">
      <c r="A99" t="s">
        <v>23</v>
      </c>
    </row>
    <row r="100" spans="1:1" x14ac:dyDescent="0.25">
      <c r="A100" t="s">
        <v>23</v>
      </c>
    </row>
    <row r="101" spans="1:1" x14ac:dyDescent="0.25">
      <c r="A101" t="s">
        <v>23</v>
      </c>
    </row>
    <row r="102" spans="1:1" x14ac:dyDescent="0.25">
      <c r="A102" t="s">
        <v>24</v>
      </c>
    </row>
    <row r="103" spans="1:1" x14ac:dyDescent="0.25">
      <c r="A103" t="s">
        <v>24</v>
      </c>
    </row>
    <row r="104" spans="1:1" x14ac:dyDescent="0.25">
      <c r="A104" t="s">
        <v>24</v>
      </c>
    </row>
  </sheetData>
  <mergeCells count="30">
    <mergeCell ref="Y25:Y26"/>
    <mergeCell ref="X1:X2"/>
    <mergeCell ref="Y1:Y2"/>
    <mergeCell ref="Z38:AA45"/>
    <mergeCell ref="A13:A14"/>
    <mergeCell ref="B13:E13"/>
    <mergeCell ref="F13:I13"/>
    <mergeCell ref="J13:P13"/>
    <mergeCell ref="Q13:W13"/>
    <mergeCell ref="X13:X14"/>
    <mergeCell ref="Y13:Y14"/>
    <mergeCell ref="A25:A26"/>
    <mergeCell ref="B25:E25"/>
    <mergeCell ref="F25:I25"/>
    <mergeCell ref="J25:P25"/>
    <mergeCell ref="Q25:W25"/>
    <mergeCell ref="X25:X26"/>
    <mergeCell ref="A1:A2"/>
    <mergeCell ref="B1:E1"/>
    <mergeCell ref="F1:I1"/>
    <mergeCell ref="J1:P1"/>
    <mergeCell ref="Q1:W1"/>
    <mergeCell ref="X53:X54"/>
    <mergeCell ref="Y53:Y54"/>
    <mergeCell ref="Z53:Z54"/>
    <mergeCell ref="A53:A54"/>
    <mergeCell ref="B53:E53"/>
    <mergeCell ref="F53:I53"/>
    <mergeCell ref="J53:P53"/>
    <mergeCell ref="Q53:W53"/>
  </mergeCells>
  <conditionalFormatting sqref="B12:Y12 B24:Y24 B36:Y52 B65:Y65 J66:Y73">
    <cfRule type="expression" dxfId="12" priority="13">
      <formula>MOD(ROW(),2)=1</formula>
    </cfRule>
  </conditionalFormatting>
  <conditionalFormatting sqref="B3:Y11">
    <cfRule type="expression" dxfId="11" priority="12">
      <formula>MOD(ROW(),2)=1</formula>
    </cfRule>
  </conditionalFormatting>
  <conditionalFormatting sqref="B15:Y23">
    <cfRule type="expression" dxfId="10" priority="11">
      <formula>MOD(ROW(),2)=1</formula>
    </cfRule>
  </conditionalFormatting>
  <conditionalFormatting sqref="B27:Y35">
    <cfRule type="expression" dxfId="9" priority="10">
      <formula>MOD(ROW(),2)=1</formula>
    </cfRule>
  </conditionalFormatting>
  <conditionalFormatting sqref="F76">
    <cfRule type="expression" dxfId="8" priority="2">
      <formula>MOD(ROW(),2)=1</formula>
    </cfRule>
  </conditionalFormatting>
  <conditionalFormatting sqref="Z55:Z59 B55:X59">
    <cfRule type="expression" dxfId="7" priority="9">
      <formula>MOD(ROW(),2)=1</formula>
    </cfRule>
  </conditionalFormatting>
  <conditionalFormatting sqref="Y55:Y59">
    <cfRule type="expression" dxfId="6" priority="8">
      <formula>MOD(ROW(),2)=1</formula>
    </cfRule>
  </conditionalFormatting>
  <conditionalFormatting sqref="Z60:Z64 B60:E64 G60:X64">
    <cfRule type="expression" dxfId="5" priority="7">
      <formula>MOD(ROW(),2)=1</formula>
    </cfRule>
  </conditionalFormatting>
  <conditionalFormatting sqref="Y60:Y64">
    <cfRule type="expression" dxfId="4" priority="6">
      <formula>MOD(ROW(),2)=1</formula>
    </cfRule>
  </conditionalFormatting>
  <conditionalFormatting sqref="F60:F64">
    <cfRule type="expression" dxfId="3" priority="5">
      <formula>MOD(ROW(),2)=1</formula>
    </cfRule>
  </conditionalFormatting>
  <conditionalFormatting sqref="B66:I70">
    <cfRule type="expression" dxfId="2" priority="4">
      <formula>MOD(ROW(),2)=1</formula>
    </cfRule>
  </conditionalFormatting>
  <conditionalFormatting sqref="B71:E76 G71:I76">
    <cfRule type="expression" dxfId="1" priority="3">
      <formula>MOD(ROW(),2)=1</formula>
    </cfRule>
  </conditionalFormatting>
  <conditionalFormatting sqref="F71:F75">
    <cfRule type="expression" dxfId="0" priority="1">
      <formula>MOD(ROW(),2)=1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40" sqref="F40"/>
    </sheetView>
  </sheetViews>
  <sheetFormatPr defaultRowHeight="15" x14ac:dyDescent="0.25"/>
  <sheetData>
    <row r="1" spans="1:3" x14ac:dyDescent="0.25">
      <c r="A1" s="30" t="s">
        <v>38</v>
      </c>
      <c r="B1" s="30" t="s">
        <v>39</v>
      </c>
      <c r="C1" s="30" t="s">
        <v>40</v>
      </c>
    </row>
    <row r="2" spans="1:3" x14ac:dyDescent="0.25">
      <c r="A2">
        <v>50</v>
      </c>
      <c r="B2">
        <v>75</v>
      </c>
      <c r="C2" s="36">
        <f t="shared" ref="C2:C7" si="0">ABS(A2-B2)/A2</f>
        <v>0.5</v>
      </c>
    </row>
    <row r="3" spans="1:3" x14ac:dyDescent="0.25">
      <c r="A3">
        <v>75</v>
      </c>
      <c r="B3">
        <v>100</v>
      </c>
      <c r="C3" s="36">
        <f t="shared" si="0"/>
        <v>0.33333333333333331</v>
      </c>
    </row>
    <row r="4" spans="1:3" x14ac:dyDescent="0.25">
      <c r="A4">
        <v>100</v>
      </c>
      <c r="B4">
        <v>75</v>
      </c>
      <c r="C4" s="36">
        <f t="shared" si="0"/>
        <v>0.25</v>
      </c>
    </row>
    <row r="5" spans="1:3" x14ac:dyDescent="0.25">
      <c r="A5">
        <v>75</v>
      </c>
      <c r="B5">
        <v>50</v>
      </c>
      <c r="C5" s="36">
        <f t="shared" si="0"/>
        <v>0.33333333333333331</v>
      </c>
    </row>
    <row r="6" spans="1:3" x14ac:dyDescent="0.25">
      <c r="A6">
        <v>50</v>
      </c>
      <c r="B6">
        <v>100</v>
      </c>
      <c r="C6" s="36">
        <f t="shared" si="0"/>
        <v>1</v>
      </c>
    </row>
    <row r="7" spans="1:3" x14ac:dyDescent="0.25">
      <c r="A7">
        <v>100</v>
      </c>
      <c r="B7">
        <v>50</v>
      </c>
      <c r="C7" s="36">
        <f t="shared" si="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StimParameters_for2AFC</vt:lpstr>
      <vt:lpstr>TestParameters</vt:lpstr>
      <vt:lpstr>StimParameters_forJND</vt:lpstr>
      <vt:lpstr>50K</vt:lpstr>
      <vt:lpstr>25K</vt:lpstr>
      <vt:lpstr>Frequencies that Lise 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gridlab</dc:creator>
  <cp:lastModifiedBy>gridlab</cp:lastModifiedBy>
  <dcterms:created xsi:type="dcterms:W3CDTF">2018-05-10T15:48:19Z</dcterms:created>
  <dcterms:modified xsi:type="dcterms:W3CDTF">2018-10-15T22:36:39Z</dcterms:modified>
</cp:coreProperties>
</file>